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amara\Documents\"/>
    </mc:Choice>
  </mc:AlternateContent>
  <xr:revisionPtr revIDLastSave="0" documentId="8_{1E7FB9B0-273C-414E-A724-ECE82B66C0F1}" xr6:coauthVersionLast="36" xr6:coauthVersionMax="36" xr10:uidLastSave="{00000000-0000-0000-0000-000000000000}"/>
  <bookViews>
    <workbookView xWindow="0" yWindow="0" windowWidth="15360" windowHeight="8520" tabRatio="908" firstSheet="3" activeTab="3" xr2:uid="{00000000-000D-0000-FFFF-FFFF00000000}"/>
  </bookViews>
  <sheets>
    <sheet name="Agronomia" sheetId="8" state="hidden" r:id="rId1"/>
    <sheet name="Ponto Equilibrio - 2021" sheetId="12" state="hidden" r:id="rId2"/>
    <sheet name="Ponto Equilibrio - CONG." sheetId="7" state="hidden" r:id="rId3"/>
    <sheet name="Ponto Equilibrio 2025" sheetId="11" r:id="rId4"/>
    <sheet name="Ponto Equilibrio 2020" sheetId="6" state="hidden" r:id="rId5"/>
    <sheet name="Ponto Equilibrio - CONG. Alt." sheetId="9" state="hidden" r:id="rId6"/>
    <sheet name="Ponto Equilibrio - Alterado" sheetId="5" state="hidden" r:id="rId7"/>
    <sheet name="Ponto Equilibrio - Corrig. Agro" sheetId="10" state="hidden" r:id="rId8"/>
    <sheet name="Planilha1" sheetId="1" state="hidden" r:id="rId9"/>
    <sheet name="Planilha2" sheetId="2" state="hidden" r:id="rId10"/>
    <sheet name="Planilha3" sheetId="3" state="hidden" r:id="rId11"/>
    <sheet name="Planilha4" sheetId="4" state="hidden" r:id="rId12"/>
  </sheets>
  <definedNames>
    <definedName name="_xlnm._FilterDatabase" localSheetId="10" hidden="1">Planilha3!$A$2:$AF$84</definedName>
    <definedName name="_xlnm.Print_Area" localSheetId="0">Agronomia!$A$1:$G$32</definedName>
    <definedName name="_xlnm.Print_Area" localSheetId="8">Planilha1!$A$1:$V$47</definedName>
    <definedName name="_xlnm.Print_Area" localSheetId="9">Planilha2!$B$1:$L$26</definedName>
    <definedName name="_xlnm.Print_Area" localSheetId="6">'Ponto Equilibrio - Alterado'!$B$41:$K$52</definedName>
    <definedName name="_xlnm.Print_Area" localSheetId="5">'Ponto Equilibrio - CONG. Alt.'!$B$41:$G$52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1" l="1"/>
  <c r="H3" i="11" s="1"/>
  <c r="I4" i="11"/>
  <c r="I6" i="11"/>
  <c r="I5" i="11"/>
  <c r="H4" i="11"/>
  <c r="I8" i="11"/>
  <c r="C20" i="11"/>
  <c r="C19" i="11"/>
  <c r="C18" i="11"/>
  <c r="C17" i="11"/>
  <c r="C16" i="11"/>
  <c r="D16" i="11" s="1"/>
  <c r="D9" i="11"/>
  <c r="D3" i="11"/>
  <c r="J3" i="11"/>
  <c r="K16" i="11" l="1"/>
  <c r="D4" i="11" l="1"/>
  <c r="J7" i="11"/>
  <c r="D20" i="11" s="1"/>
  <c r="J6" i="11"/>
  <c r="D19" i="11" s="1"/>
  <c r="J5" i="11"/>
  <c r="D18" i="11" s="1"/>
  <c r="L20" i="11"/>
  <c r="J4" i="11" l="1"/>
  <c r="D17" i="11" s="1"/>
  <c r="L25" i="11"/>
  <c r="H6" i="11"/>
  <c r="C2" i="11"/>
  <c r="C73" i="12"/>
  <c r="D72" i="12"/>
  <c r="D71" i="12"/>
  <c r="D70" i="12"/>
  <c r="D69" i="12"/>
  <c r="D68" i="12"/>
  <c r="D67" i="12"/>
  <c r="D66" i="12"/>
  <c r="D65" i="12"/>
  <c r="D64" i="12"/>
  <c r="C59" i="12"/>
  <c r="D58" i="12"/>
  <c r="D57" i="12"/>
  <c r="D56" i="12"/>
  <c r="D55" i="12"/>
  <c r="D54" i="12"/>
  <c r="D53" i="12"/>
  <c r="D52" i="12"/>
  <c r="D51" i="12"/>
  <c r="D50" i="12"/>
  <c r="D44" i="12"/>
  <c r="D43" i="12"/>
  <c r="D42" i="12"/>
  <c r="D41" i="12"/>
  <c r="D40" i="12"/>
  <c r="D39" i="12"/>
  <c r="D38" i="12"/>
  <c r="D33" i="12"/>
  <c r="D32" i="12"/>
  <c r="D31" i="12"/>
  <c r="D30" i="12"/>
  <c r="D29" i="12"/>
  <c r="D28" i="12"/>
  <c r="D27" i="12"/>
  <c r="D22" i="12"/>
  <c r="D21" i="12"/>
  <c r="D20" i="12"/>
  <c r="D19" i="12"/>
  <c r="D18" i="12"/>
  <c r="D17" i="12"/>
  <c r="D16" i="12"/>
  <c r="J13" i="12"/>
  <c r="I13" i="12"/>
  <c r="M13" i="12"/>
  <c r="H9" i="12"/>
  <c r="H13" i="12" s="1"/>
  <c r="D3" i="12"/>
  <c r="D2" i="12"/>
  <c r="M22" i="11" l="1"/>
  <c r="M21" i="11"/>
  <c r="M24" i="11"/>
  <c r="M23" i="11"/>
  <c r="M20" i="11"/>
  <c r="H7" i="11"/>
  <c r="H5" i="11"/>
  <c r="C23" i="12"/>
  <c r="D38" i="11"/>
  <c r="D37" i="11"/>
  <c r="D25" i="11"/>
  <c r="D63" i="11"/>
  <c r="D66" i="11"/>
  <c r="D30" i="11"/>
  <c r="D64" i="11"/>
  <c r="C67" i="11"/>
  <c r="D65" i="11"/>
  <c r="C55" i="11"/>
  <c r="D54" i="11"/>
  <c r="D53" i="11"/>
  <c r="D42" i="11"/>
  <c r="D41" i="11"/>
  <c r="D31" i="11"/>
  <c r="C21" i="11"/>
  <c r="M8" i="11"/>
  <c r="D8" i="11" s="1"/>
  <c r="M25" i="11" l="1"/>
  <c r="D27" i="11"/>
  <c r="D39" i="11"/>
  <c r="H8" i="11"/>
  <c r="D40" i="11"/>
  <c r="D26" i="11"/>
  <c r="D28" i="11"/>
  <c r="D52" i="11"/>
  <c r="D29" i="11"/>
  <c r="D48" i="11"/>
  <c r="D60" i="11"/>
  <c r="D36" i="11"/>
  <c r="J8" i="11"/>
  <c r="C6" i="11" s="1"/>
  <c r="D49" i="11"/>
  <c r="D61" i="11"/>
  <c r="D50" i="11"/>
  <c r="D62" i="11"/>
  <c r="D51" i="11"/>
  <c r="E72" i="12"/>
  <c r="F72" i="12" s="1"/>
  <c r="G72" i="12" s="1"/>
  <c r="E58" i="12"/>
  <c r="F58" i="12" s="1"/>
  <c r="G58" i="12" s="1"/>
  <c r="E71" i="12"/>
  <c r="F71" i="12" s="1"/>
  <c r="G71" i="12" s="1"/>
  <c r="E57" i="12"/>
  <c r="F57" i="12" s="1"/>
  <c r="G57" i="12" s="1"/>
  <c r="D5" i="11"/>
  <c r="L16" i="10"/>
  <c r="L17" i="10"/>
  <c r="I9" i="10" s="1"/>
  <c r="L18" i="10"/>
  <c r="H9" i="10"/>
  <c r="H13" i="10" s="1"/>
  <c r="H9" i="5"/>
  <c r="D49" i="10"/>
  <c r="C80" i="10"/>
  <c r="D79" i="10"/>
  <c r="D78" i="10"/>
  <c r="D77" i="10"/>
  <c r="D76" i="10"/>
  <c r="D75" i="10"/>
  <c r="D74" i="10"/>
  <c r="D73" i="10"/>
  <c r="D72" i="10"/>
  <c r="D71" i="10"/>
  <c r="C66" i="10"/>
  <c r="D65" i="10"/>
  <c r="D64" i="10"/>
  <c r="D63" i="10"/>
  <c r="D62" i="10"/>
  <c r="D61" i="10"/>
  <c r="D60" i="10"/>
  <c r="D59" i="10"/>
  <c r="D58" i="10"/>
  <c r="D57" i="10"/>
  <c r="D51" i="10"/>
  <c r="D50" i="10"/>
  <c r="D48" i="10"/>
  <c r="D47" i="10"/>
  <c r="D46" i="10"/>
  <c r="D45" i="10"/>
  <c r="D44" i="10"/>
  <c r="D43" i="10"/>
  <c r="D38" i="10"/>
  <c r="D37" i="10"/>
  <c r="D36" i="10"/>
  <c r="D35" i="10"/>
  <c r="D34" i="10"/>
  <c r="D33" i="10"/>
  <c r="D32" i="10"/>
  <c r="D31" i="10"/>
  <c r="D30" i="10"/>
  <c r="C25" i="10"/>
  <c r="D25" i="10" s="1"/>
  <c r="D24" i="10"/>
  <c r="D23" i="10"/>
  <c r="D22" i="10"/>
  <c r="D21" i="10"/>
  <c r="D20" i="10"/>
  <c r="D19" i="10"/>
  <c r="D18" i="10"/>
  <c r="D17" i="10"/>
  <c r="D16" i="10"/>
  <c r="J13" i="10"/>
  <c r="M12" i="10"/>
  <c r="I5" i="10"/>
  <c r="D3" i="10"/>
  <c r="D2" i="10"/>
  <c r="D49" i="5"/>
  <c r="I13" i="10" l="1"/>
  <c r="D10" i="11"/>
  <c r="D12" i="11" s="1"/>
  <c r="D6" i="11"/>
  <c r="K4" i="11" s="1"/>
  <c r="L4" i="11" s="1"/>
  <c r="N4" i="11" s="1"/>
  <c r="C26" i="10"/>
  <c r="L19" i="10"/>
  <c r="M13" i="10"/>
  <c r="K5" i="11" l="1"/>
  <c r="L5" i="11" s="1"/>
  <c r="K6" i="11"/>
  <c r="L6" i="11" s="1"/>
  <c r="K7" i="11"/>
  <c r="L7" i="11" s="1"/>
  <c r="K3" i="11"/>
  <c r="E62" i="11"/>
  <c r="F62" i="11" s="1"/>
  <c r="G62" i="11" s="1"/>
  <c r="E50" i="11"/>
  <c r="F50" i="11" s="1"/>
  <c r="G50" i="11" s="1"/>
  <c r="F27" i="11"/>
  <c r="G27" i="11" s="1"/>
  <c r="E38" i="11"/>
  <c r="F38" i="11" s="1"/>
  <c r="G38" i="11" s="1"/>
  <c r="E17" i="11"/>
  <c r="L17" i="6"/>
  <c r="L16" i="6"/>
  <c r="L15" i="6"/>
  <c r="L18" i="5"/>
  <c r="I5" i="5" s="1"/>
  <c r="L17" i="5"/>
  <c r="I9" i="5" s="1"/>
  <c r="L16" i="5"/>
  <c r="L19" i="9"/>
  <c r="I5" i="9" s="1"/>
  <c r="L18" i="9"/>
  <c r="I9" i="9" s="1"/>
  <c r="L17" i="9"/>
  <c r="I7" i="9" s="1"/>
  <c r="C80" i="9"/>
  <c r="D79" i="9"/>
  <c r="D78" i="9"/>
  <c r="D77" i="9"/>
  <c r="D76" i="9"/>
  <c r="D75" i="9"/>
  <c r="D74" i="9"/>
  <c r="D73" i="9"/>
  <c r="D72" i="9"/>
  <c r="D71" i="9"/>
  <c r="C66" i="9"/>
  <c r="D65" i="9"/>
  <c r="D64" i="9"/>
  <c r="D63" i="9"/>
  <c r="D62" i="9"/>
  <c r="D61" i="9"/>
  <c r="D60" i="9"/>
  <c r="D59" i="9"/>
  <c r="D58" i="9"/>
  <c r="D57" i="9"/>
  <c r="D51" i="9"/>
  <c r="D50" i="9"/>
  <c r="D49" i="9"/>
  <c r="D48" i="9"/>
  <c r="D47" i="9"/>
  <c r="D46" i="9"/>
  <c r="D45" i="9"/>
  <c r="D44" i="9"/>
  <c r="D43" i="9"/>
  <c r="D38" i="9"/>
  <c r="D37" i="9"/>
  <c r="D36" i="9"/>
  <c r="D35" i="9"/>
  <c r="D34" i="9"/>
  <c r="D33" i="9"/>
  <c r="D32" i="9"/>
  <c r="D31" i="9"/>
  <c r="D30" i="9"/>
  <c r="C25" i="9"/>
  <c r="C26" i="9" s="1"/>
  <c r="D24" i="9"/>
  <c r="D23" i="9"/>
  <c r="D22" i="9"/>
  <c r="D21" i="9"/>
  <c r="D20" i="9"/>
  <c r="D19" i="9"/>
  <c r="D18" i="9"/>
  <c r="D17" i="9"/>
  <c r="D16" i="9"/>
  <c r="J13" i="9"/>
  <c r="M12" i="9"/>
  <c r="M13" i="9" s="1"/>
  <c r="H9" i="9"/>
  <c r="H13" i="9" s="1"/>
  <c r="D3" i="9"/>
  <c r="D2" i="9"/>
  <c r="D25" i="9" l="1"/>
  <c r="E53" i="11"/>
  <c r="F53" i="11" s="1"/>
  <c r="G53" i="11" s="1"/>
  <c r="N6" i="11"/>
  <c r="E64" i="11"/>
  <c r="F64" i="11" s="1"/>
  <c r="G64" i="11" s="1"/>
  <c r="N5" i="11"/>
  <c r="E66" i="11"/>
  <c r="F66" i="11" s="1"/>
  <c r="G66" i="11" s="1"/>
  <c r="N7" i="11"/>
  <c r="L3" i="11"/>
  <c r="K8" i="11"/>
  <c r="F30" i="11"/>
  <c r="G30" i="11" s="1"/>
  <c r="E41" i="11"/>
  <c r="F41" i="11" s="1"/>
  <c r="G41" i="11" s="1"/>
  <c r="E65" i="11"/>
  <c r="F65" i="11" s="1"/>
  <c r="G65" i="11" s="1"/>
  <c r="F28" i="11"/>
  <c r="G28" i="11" s="1"/>
  <c r="E39" i="11"/>
  <c r="F39" i="11" s="1"/>
  <c r="G39" i="11" s="1"/>
  <c r="E42" i="11"/>
  <c r="F42" i="11" s="1"/>
  <c r="G42" i="11" s="1"/>
  <c r="E20" i="11"/>
  <c r="G20" i="11" s="1"/>
  <c r="F31" i="11"/>
  <c r="G31" i="11" s="1"/>
  <c r="E54" i="11"/>
  <c r="F54" i="11" s="1"/>
  <c r="G54" i="11" s="1"/>
  <c r="E51" i="11"/>
  <c r="F51" i="11" s="1"/>
  <c r="G51" i="11" s="1"/>
  <c r="E63" i="11"/>
  <c r="F63" i="11" s="1"/>
  <c r="G63" i="11" s="1"/>
  <c r="E18" i="11"/>
  <c r="F18" i="11" s="1"/>
  <c r="E40" i="11"/>
  <c r="F40" i="11" s="1"/>
  <c r="G40" i="11" s="1"/>
  <c r="F29" i="11"/>
  <c r="G29" i="11" s="1"/>
  <c r="E19" i="11"/>
  <c r="G19" i="11" s="1"/>
  <c r="E52" i="11"/>
  <c r="F52" i="11" s="1"/>
  <c r="G52" i="11" s="1"/>
  <c r="E60" i="11"/>
  <c r="E48" i="11"/>
  <c r="F25" i="11"/>
  <c r="E36" i="11"/>
  <c r="F17" i="11"/>
  <c r="G17" i="11"/>
  <c r="I8" i="9"/>
  <c r="I13" i="9" s="1"/>
  <c r="L20" i="9"/>
  <c r="L19" i="5"/>
  <c r="L18" i="6"/>
  <c r="E37" i="11" l="1"/>
  <c r="F37" i="11" s="1"/>
  <c r="G37" i="11" s="1"/>
  <c r="N3" i="11"/>
  <c r="N8" i="11" s="1"/>
  <c r="E49" i="11"/>
  <c r="F49" i="11" s="1"/>
  <c r="G49" i="11" s="1"/>
  <c r="E61" i="11"/>
  <c r="F61" i="11" s="1"/>
  <c r="G61" i="11" s="1"/>
  <c r="L8" i="11"/>
  <c r="E16" i="11"/>
  <c r="G16" i="11" s="1"/>
  <c r="F26" i="11"/>
  <c r="G26" i="11" s="1"/>
  <c r="G18" i="11"/>
  <c r="F20" i="11"/>
  <c r="F19" i="11"/>
  <c r="E43" i="11"/>
  <c r="F36" i="11"/>
  <c r="F43" i="11" s="1"/>
  <c r="G36" i="11"/>
  <c r="G43" i="11" s="1"/>
  <c r="E55" i="11"/>
  <c r="G48" i="11"/>
  <c r="G55" i="11" s="1"/>
  <c r="F48" i="11"/>
  <c r="F55" i="11" s="1"/>
  <c r="F32" i="11"/>
  <c r="G25" i="11"/>
  <c r="G32" i="11" s="1"/>
  <c r="E67" i="11"/>
  <c r="G60" i="11"/>
  <c r="G67" i="11" s="1"/>
  <c r="F60" i="11"/>
  <c r="F67" i="11" s="1"/>
  <c r="F13" i="8"/>
  <c r="D13" i="8"/>
  <c r="E13" i="8"/>
  <c r="F24" i="8"/>
  <c r="D24" i="8"/>
  <c r="E24" i="8"/>
  <c r="D44" i="6"/>
  <c r="H9" i="6"/>
  <c r="H9" i="7"/>
  <c r="H13" i="7" s="1"/>
  <c r="D49" i="7"/>
  <c r="C80" i="7"/>
  <c r="D79" i="7"/>
  <c r="D78" i="7"/>
  <c r="D77" i="7"/>
  <c r="D76" i="7"/>
  <c r="D75" i="7"/>
  <c r="D74" i="7"/>
  <c r="D73" i="7"/>
  <c r="D72" i="7"/>
  <c r="D71" i="7"/>
  <c r="C66" i="7"/>
  <c r="D65" i="7"/>
  <c r="D64" i="7"/>
  <c r="D63" i="7"/>
  <c r="D62" i="7"/>
  <c r="D61" i="7"/>
  <c r="D60" i="7"/>
  <c r="D59" i="7"/>
  <c r="D58" i="7"/>
  <c r="D57" i="7"/>
  <c r="D51" i="7"/>
  <c r="D50" i="7"/>
  <c r="D48" i="7"/>
  <c r="D47" i="7"/>
  <c r="D46" i="7"/>
  <c r="D45" i="7"/>
  <c r="D44" i="7"/>
  <c r="D43" i="7"/>
  <c r="D38" i="7"/>
  <c r="D37" i="7"/>
  <c r="D36" i="7"/>
  <c r="D35" i="7"/>
  <c r="D34" i="7"/>
  <c r="D33" i="7"/>
  <c r="D32" i="7"/>
  <c r="D31" i="7"/>
  <c r="D30" i="7"/>
  <c r="C25" i="7"/>
  <c r="D25" i="7" s="1"/>
  <c r="D24" i="7"/>
  <c r="D23" i="7"/>
  <c r="D22" i="7"/>
  <c r="D21" i="7"/>
  <c r="D20" i="7"/>
  <c r="D19" i="7"/>
  <c r="D18" i="7"/>
  <c r="D17" i="7"/>
  <c r="D16" i="7"/>
  <c r="J13" i="7"/>
  <c r="I13" i="7"/>
  <c r="M12" i="7"/>
  <c r="D3" i="7"/>
  <c r="D2" i="7"/>
  <c r="E21" i="11" l="1"/>
  <c r="G21" i="11"/>
  <c r="F16" i="11"/>
  <c r="F21" i="11" s="1"/>
  <c r="C26" i="7"/>
  <c r="M13" i="7"/>
  <c r="C69" i="6" l="1"/>
  <c r="D68" i="6"/>
  <c r="D67" i="6"/>
  <c r="D66" i="6"/>
  <c r="D65" i="6"/>
  <c r="D64" i="6"/>
  <c r="D63" i="6"/>
  <c r="D62" i="6"/>
  <c r="C57" i="6"/>
  <c r="D56" i="6"/>
  <c r="D55" i="6"/>
  <c r="D54" i="6"/>
  <c r="D53" i="6"/>
  <c r="D52" i="6"/>
  <c r="D51" i="6"/>
  <c r="D50" i="6"/>
  <c r="D43" i="6"/>
  <c r="D42" i="6"/>
  <c r="D41" i="6"/>
  <c r="D40" i="6"/>
  <c r="D39" i="6"/>
  <c r="D38" i="6"/>
  <c r="D33" i="6"/>
  <c r="D32" i="6"/>
  <c r="D31" i="6"/>
  <c r="D30" i="6"/>
  <c r="D29" i="6"/>
  <c r="D28" i="6"/>
  <c r="D27" i="6"/>
  <c r="C23" i="6"/>
  <c r="D22" i="6"/>
  <c r="D21" i="6"/>
  <c r="D20" i="6"/>
  <c r="D19" i="6"/>
  <c r="D18" i="6"/>
  <c r="D17" i="6"/>
  <c r="D16" i="6"/>
  <c r="J10" i="6"/>
  <c r="I10" i="6"/>
  <c r="D8" i="6" s="1"/>
  <c r="H10" i="6"/>
  <c r="D9" i="6" s="1"/>
  <c r="D3" i="6"/>
  <c r="D2" i="6"/>
  <c r="D10" i="6" l="1"/>
  <c r="M10" i="6"/>
  <c r="D78" i="5"/>
  <c r="D64" i="5"/>
  <c r="D50" i="5"/>
  <c r="D79" i="5" l="1"/>
  <c r="D77" i="5"/>
  <c r="D76" i="5"/>
  <c r="D75" i="5"/>
  <c r="D74" i="5"/>
  <c r="D73" i="5"/>
  <c r="D72" i="5"/>
  <c r="D71" i="5"/>
  <c r="D38" i="5"/>
  <c r="D37" i="5"/>
  <c r="D36" i="5"/>
  <c r="D35" i="5"/>
  <c r="D34" i="5"/>
  <c r="D33" i="5"/>
  <c r="D32" i="5"/>
  <c r="D31" i="5"/>
  <c r="D30" i="5"/>
  <c r="M12" i="5" l="1"/>
  <c r="M13" i="5" s="1"/>
  <c r="C80" i="5"/>
  <c r="D61" i="5"/>
  <c r="D65" i="5"/>
  <c r="D63" i="5"/>
  <c r="D62" i="5"/>
  <c r="D60" i="5"/>
  <c r="D59" i="5"/>
  <c r="D58" i="5"/>
  <c r="D57" i="5"/>
  <c r="C66" i="5"/>
  <c r="D24" i="5"/>
  <c r="D23" i="5"/>
  <c r="D22" i="5"/>
  <c r="D21" i="5"/>
  <c r="D20" i="5"/>
  <c r="D19" i="5"/>
  <c r="D18" i="5"/>
  <c r="D17" i="5"/>
  <c r="D16" i="5"/>
  <c r="D51" i="5" l="1"/>
  <c r="D48" i="5"/>
  <c r="D47" i="5"/>
  <c r="D46" i="5"/>
  <c r="D45" i="5"/>
  <c r="D44" i="5"/>
  <c r="D43" i="5"/>
  <c r="J13" i="5" l="1"/>
  <c r="C25" i="5"/>
  <c r="D25" i="5" s="1"/>
  <c r="I13" i="5"/>
  <c r="H13" i="5"/>
  <c r="D3" i="5"/>
  <c r="D2" i="5"/>
  <c r="C25" i="2"/>
  <c r="C26" i="5" l="1"/>
  <c r="C26" i="2"/>
  <c r="H26" i="2"/>
  <c r="G26" i="2"/>
  <c r="K25" i="2"/>
  <c r="H12" i="2" s="1"/>
  <c r="K24" i="2"/>
  <c r="H11" i="2" s="1"/>
  <c r="K23" i="2"/>
  <c r="H10" i="2" s="1"/>
  <c r="K22" i="2"/>
  <c r="H9" i="2" s="1"/>
  <c r="K21" i="2"/>
  <c r="H8" i="2" s="1"/>
  <c r="K20" i="2"/>
  <c r="H7" i="2" s="1"/>
  <c r="K19" i="2"/>
  <c r="H6" i="2" s="1"/>
  <c r="K18" i="2"/>
  <c r="H5" i="2" s="1"/>
  <c r="K17" i="2"/>
  <c r="H4" i="2" s="1"/>
  <c r="K16" i="2"/>
  <c r="J25" i="2"/>
  <c r="G12" i="2" s="1"/>
  <c r="J24" i="2"/>
  <c r="G11" i="2" s="1"/>
  <c r="J23" i="2"/>
  <c r="G10" i="2" s="1"/>
  <c r="J22" i="2"/>
  <c r="G9" i="2" s="1"/>
  <c r="J21" i="2"/>
  <c r="G8" i="2" s="1"/>
  <c r="J20" i="2"/>
  <c r="G7" i="2" s="1"/>
  <c r="J19" i="2"/>
  <c r="G6" i="2" s="1"/>
  <c r="J18" i="2"/>
  <c r="G5" i="2" s="1"/>
  <c r="J17" i="2"/>
  <c r="G4" i="2" s="1"/>
  <c r="J16" i="2"/>
  <c r="G3" i="2" s="1"/>
  <c r="K26" i="2" l="1"/>
  <c r="J26" i="2"/>
  <c r="H3" i="2"/>
  <c r="AE80" i="3" l="1"/>
  <c r="AE77" i="3"/>
  <c r="AE75" i="3"/>
  <c r="AE73" i="3"/>
  <c r="AE72" i="3"/>
  <c r="AE71" i="3"/>
  <c r="AE70" i="3"/>
  <c r="AE67" i="3"/>
  <c r="AE66" i="3"/>
  <c r="AE65" i="3"/>
  <c r="AE63" i="3"/>
  <c r="AE62" i="3"/>
  <c r="AE61" i="3"/>
  <c r="AE60" i="3"/>
  <c r="AE59" i="3"/>
  <c r="AE58" i="3"/>
  <c r="AE56" i="3"/>
  <c r="AE53" i="3"/>
  <c r="AE52" i="3"/>
  <c r="AE48" i="3"/>
  <c r="AE44" i="3"/>
  <c r="AE43" i="3"/>
  <c r="AE38" i="3"/>
  <c r="AE37" i="3"/>
  <c r="AE34" i="3"/>
  <c r="AE33" i="3"/>
  <c r="AE31" i="3"/>
  <c r="AE21" i="3"/>
  <c r="AE18" i="3"/>
  <c r="AE17" i="3"/>
  <c r="AE16" i="3"/>
  <c r="AE15" i="3"/>
  <c r="AE14" i="3"/>
  <c r="AE12" i="3"/>
  <c r="AE6" i="3"/>
  <c r="R80" i="3"/>
  <c r="R79" i="3"/>
  <c r="S79" i="3" s="1"/>
  <c r="AD79" i="3" s="1"/>
  <c r="R78" i="3"/>
  <c r="S78" i="3" s="1"/>
  <c r="AD78" i="3" s="1"/>
  <c r="R77" i="3"/>
  <c r="R76" i="3"/>
  <c r="R75" i="3"/>
  <c r="R74" i="3"/>
  <c r="S74" i="3" s="1"/>
  <c r="AD74" i="3" s="1"/>
  <c r="R73" i="3"/>
  <c r="R72" i="3"/>
  <c r="R71" i="3"/>
  <c r="R70" i="3"/>
  <c r="R69" i="3"/>
  <c r="S69" i="3" s="1"/>
  <c r="AD69" i="3" s="1"/>
  <c r="R68" i="3"/>
  <c r="S68" i="3" s="1"/>
  <c r="AD68" i="3" s="1"/>
  <c r="R67" i="3"/>
  <c r="R66" i="3"/>
  <c r="R65" i="3"/>
  <c r="R64" i="3"/>
  <c r="S64" i="3" s="1"/>
  <c r="R63" i="3"/>
  <c r="R62" i="3"/>
  <c r="R61" i="3"/>
  <c r="R60" i="3"/>
  <c r="R59" i="3"/>
  <c r="R58" i="3"/>
  <c r="R57" i="3"/>
  <c r="R56" i="3"/>
  <c r="R55" i="3"/>
  <c r="S55" i="3" s="1"/>
  <c r="AD55" i="3" s="1"/>
  <c r="R54" i="3"/>
  <c r="S54" i="3" s="1"/>
  <c r="AD54" i="3" s="1"/>
  <c r="R53" i="3"/>
  <c r="R52" i="3"/>
  <c r="R51" i="3"/>
  <c r="S51" i="3" s="1"/>
  <c r="AD51" i="3" s="1"/>
  <c r="R50" i="3"/>
  <c r="S50" i="3" s="1"/>
  <c r="AD50" i="3" s="1"/>
  <c r="R49" i="3"/>
  <c r="S49" i="3" s="1"/>
  <c r="AD49" i="3" s="1"/>
  <c r="R48" i="3"/>
  <c r="R47" i="3"/>
  <c r="S47" i="3" s="1"/>
  <c r="AD47" i="3" s="1"/>
  <c r="R46" i="3"/>
  <c r="S46" i="3" s="1"/>
  <c r="R45" i="3"/>
  <c r="R44" i="3"/>
  <c r="R43" i="3"/>
  <c r="R42" i="3"/>
  <c r="S42" i="3" s="1"/>
  <c r="R41" i="3"/>
  <c r="S41" i="3" s="1"/>
  <c r="AD41" i="3" s="1"/>
  <c r="R40" i="3"/>
  <c r="S40" i="3" s="1"/>
  <c r="R39" i="3"/>
  <c r="R38" i="3"/>
  <c r="R37" i="3"/>
  <c r="R36" i="3"/>
  <c r="S36" i="3" s="1"/>
  <c r="R35" i="3"/>
  <c r="S35" i="3" s="1"/>
  <c r="T35" i="3" s="1"/>
  <c r="R34" i="3"/>
  <c r="R33" i="3"/>
  <c r="R32" i="3"/>
  <c r="S32" i="3" s="1"/>
  <c r="R31" i="3"/>
  <c r="R30" i="3"/>
  <c r="S30" i="3" s="1"/>
  <c r="R29" i="3"/>
  <c r="S29" i="3" s="1"/>
  <c r="AD29" i="3" s="1"/>
  <c r="R28" i="3"/>
  <c r="R27" i="3"/>
  <c r="S27" i="3" s="1"/>
  <c r="AD27" i="3" s="1"/>
  <c r="R26" i="3"/>
  <c r="S26" i="3" s="1"/>
  <c r="R25" i="3"/>
  <c r="S25" i="3" s="1"/>
  <c r="AD25" i="3" s="1"/>
  <c r="R24" i="3"/>
  <c r="S24" i="3" s="1"/>
  <c r="R23" i="3"/>
  <c r="S23" i="3" s="1"/>
  <c r="AD23" i="3" s="1"/>
  <c r="R22" i="3"/>
  <c r="S22" i="3" s="1"/>
  <c r="R21" i="3"/>
  <c r="R20" i="3"/>
  <c r="S20" i="3" s="1"/>
  <c r="X20" i="3" s="1"/>
  <c r="R19" i="3"/>
  <c r="R18" i="3"/>
  <c r="R17" i="3"/>
  <c r="R16" i="3"/>
  <c r="R15" i="3"/>
  <c r="R14" i="3"/>
  <c r="R13" i="3"/>
  <c r="S13" i="3" s="1"/>
  <c r="AD13" i="3" s="1"/>
  <c r="R12" i="3"/>
  <c r="R11" i="3"/>
  <c r="S11" i="3" s="1"/>
  <c r="AD11" i="3" s="1"/>
  <c r="R10" i="3"/>
  <c r="S10" i="3" s="1"/>
  <c r="R9" i="3"/>
  <c r="R8" i="3"/>
  <c r="S8" i="3" s="1"/>
  <c r="Z8" i="3" s="1"/>
  <c r="R7" i="3"/>
  <c r="S7" i="3" s="1"/>
  <c r="AD7" i="3" s="1"/>
  <c r="R6" i="3"/>
  <c r="R5" i="3"/>
  <c r="S5" i="3" s="1"/>
  <c r="AD5" i="3" s="1"/>
  <c r="R4" i="3"/>
  <c r="S4" i="3" s="1"/>
  <c r="Y4" i="3" s="1"/>
  <c r="R3" i="3"/>
  <c r="AF79" i="3"/>
  <c r="AF78" i="3"/>
  <c r="AF76" i="3"/>
  <c r="AF74" i="3"/>
  <c r="AF69" i="3"/>
  <c r="AF68" i="3"/>
  <c r="AF64" i="3"/>
  <c r="AF57" i="3"/>
  <c r="AF55" i="3"/>
  <c r="AF54" i="3"/>
  <c r="AF51" i="3"/>
  <c r="AF50" i="3"/>
  <c r="AF49" i="3"/>
  <c r="AF47" i="3"/>
  <c r="AF46" i="3"/>
  <c r="AF45" i="3"/>
  <c r="AF42" i="3"/>
  <c r="AF41" i="3"/>
  <c r="AF40" i="3"/>
  <c r="AF39" i="3"/>
  <c r="AF36" i="3"/>
  <c r="AF35" i="3"/>
  <c r="AF32" i="3"/>
  <c r="AF30" i="3"/>
  <c r="AF29" i="3"/>
  <c r="AF28" i="3"/>
  <c r="AF27" i="3"/>
  <c r="AF26" i="3"/>
  <c r="AF25" i="3"/>
  <c r="AF24" i="3"/>
  <c r="AF23" i="3"/>
  <c r="AF22" i="3"/>
  <c r="AF20" i="3"/>
  <c r="AF19" i="3"/>
  <c r="AF13" i="3"/>
  <c r="AF11" i="3"/>
  <c r="AF10" i="3"/>
  <c r="AF9" i="3"/>
  <c r="AF8" i="3"/>
  <c r="AF7" i="3"/>
  <c r="AF5" i="3"/>
  <c r="AF4" i="3"/>
  <c r="AF3" i="3"/>
  <c r="J17" i="4"/>
  <c r="K17" i="4" s="1"/>
  <c r="J16" i="4"/>
  <c r="K16" i="4" s="1"/>
  <c r="F16" i="4"/>
  <c r="J15" i="4" s="1"/>
  <c r="K15" i="4" s="1"/>
  <c r="C16" i="4"/>
  <c r="J11" i="4" s="1"/>
  <c r="K11" i="4" s="1"/>
  <c r="K14" i="4"/>
  <c r="J13" i="4"/>
  <c r="K13" i="4" s="1"/>
  <c r="J12" i="4"/>
  <c r="K12" i="4" s="1"/>
  <c r="C10" i="4"/>
  <c r="J10" i="4" s="1"/>
  <c r="K10" i="4" s="1"/>
  <c r="K9" i="4"/>
  <c r="K8" i="4"/>
  <c r="J8" i="4"/>
  <c r="K7" i="4"/>
  <c r="J7" i="4"/>
  <c r="F5" i="4"/>
  <c r="C2" i="4"/>
  <c r="S76" i="3"/>
  <c r="W76" i="3" s="1"/>
  <c r="S57" i="3"/>
  <c r="AD57" i="3" s="1"/>
  <c r="S45" i="3"/>
  <c r="AD45" i="3" s="1"/>
  <c r="S39" i="3"/>
  <c r="T39" i="3" s="1"/>
  <c r="S28" i="3"/>
  <c r="S19" i="3"/>
  <c r="AD19" i="3" s="1"/>
  <c r="S9" i="3"/>
  <c r="AD9" i="3" s="1"/>
  <c r="S3" i="3"/>
  <c r="K18" i="4" l="1"/>
  <c r="AC24" i="3"/>
  <c r="AD24" i="3"/>
  <c r="T32" i="3"/>
  <c r="Z32" i="3"/>
  <c r="V32" i="3"/>
  <c r="AB32" i="3"/>
  <c r="AD32" i="3"/>
  <c r="X32" i="3"/>
  <c r="T36" i="3"/>
  <c r="Z36" i="3"/>
  <c r="V36" i="3"/>
  <c r="AD36" i="3"/>
  <c r="AB36" i="3"/>
  <c r="X36" i="3"/>
  <c r="W40" i="3"/>
  <c r="AD40" i="3"/>
  <c r="AA40" i="3"/>
  <c r="AC42" i="3"/>
  <c r="U42" i="3"/>
  <c r="AD42" i="3"/>
  <c r="Y42" i="3"/>
  <c r="AA46" i="3"/>
  <c r="AD46" i="3"/>
  <c r="W46" i="3"/>
  <c r="Y28" i="3"/>
  <c r="AD28" i="3"/>
  <c r="V8" i="3"/>
  <c r="AD8" i="3"/>
  <c r="X10" i="3"/>
  <c r="AB10" i="3"/>
  <c r="W22" i="3"/>
  <c r="AD22" i="3"/>
  <c r="AA26" i="3"/>
  <c r="AD26" i="3"/>
  <c r="AB30" i="3"/>
  <c r="AD30" i="3"/>
  <c r="AA64" i="3"/>
  <c r="T64" i="3"/>
  <c r="AD64" i="3"/>
  <c r="AD76" i="3"/>
  <c r="AB3" i="3"/>
  <c r="AD3" i="3"/>
  <c r="AB20" i="3"/>
  <c r="W64" i="3"/>
  <c r="AD4" i="3"/>
  <c r="AD10" i="3"/>
  <c r="AD20" i="3"/>
  <c r="AD35" i="3"/>
  <c r="AD39" i="3"/>
  <c r="AA76" i="3"/>
  <c r="T29" i="3"/>
  <c r="AC29" i="3"/>
  <c r="AA29" i="3"/>
  <c r="Y29" i="3"/>
  <c r="W29" i="3"/>
  <c r="U29" i="3"/>
  <c r="AB29" i="3"/>
  <c r="Z29" i="3"/>
  <c r="X29" i="3"/>
  <c r="V29" i="3"/>
  <c r="T49" i="3"/>
  <c r="AB49" i="3"/>
  <c r="Z49" i="3"/>
  <c r="X49" i="3"/>
  <c r="V49" i="3"/>
  <c r="AA49" i="3"/>
  <c r="W49" i="3"/>
  <c r="AC49" i="3"/>
  <c r="Y49" i="3"/>
  <c r="U49" i="3"/>
  <c r="T51" i="3"/>
  <c r="AB51" i="3"/>
  <c r="Z51" i="3"/>
  <c r="X51" i="3"/>
  <c r="V51" i="3"/>
  <c r="AC51" i="3"/>
  <c r="Y51" i="3"/>
  <c r="U51" i="3"/>
  <c r="AA51" i="3"/>
  <c r="W51" i="3"/>
  <c r="T55" i="3"/>
  <c r="AB55" i="3"/>
  <c r="Z55" i="3"/>
  <c r="X55" i="3"/>
  <c r="V55" i="3"/>
  <c r="AA55" i="3"/>
  <c r="W55" i="3"/>
  <c r="AC55" i="3"/>
  <c r="Y55" i="3"/>
  <c r="U55" i="3"/>
  <c r="T69" i="3"/>
  <c r="AB69" i="3"/>
  <c r="Z69" i="3"/>
  <c r="X69" i="3"/>
  <c r="V69" i="3"/>
  <c r="AA69" i="3"/>
  <c r="W69" i="3"/>
  <c r="AC69" i="3"/>
  <c r="Y69" i="3"/>
  <c r="U69" i="3"/>
  <c r="T79" i="3"/>
  <c r="AB79" i="3"/>
  <c r="Z79" i="3"/>
  <c r="X79" i="3"/>
  <c r="V79" i="3"/>
  <c r="AA79" i="3"/>
  <c r="W79" i="3"/>
  <c r="AC79" i="3"/>
  <c r="Y79" i="3"/>
  <c r="U79" i="3"/>
  <c r="T41" i="3"/>
  <c r="AC41" i="3"/>
  <c r="AA41" i="3"/>
  <c r="Y41" i="3"/>
  <c r="W41" i="3"/>
  <c r="U41" i="3"/>
  <c r="T45" i="3"/>
  <c r="AC45" i="3"/>
  <c r="AA45" i="3"/>
  <c r="Y45" i="3"/>
  <c r="W45" i="3"/>
  <c r="U45" i="3"/>
  <c r="T47" i="3"/>
  <c r="AC47" i="3"/>
  <c r="AA47" i="3"/>
  <c r="Y47" i="3"/>
  <c r="W47" i="3"/>
  <c r="U47" i="3"/>
  <c r="AC50" i="3"/>
  <c r="AA50" i="3"/>
  <c r="Y50" i="3"/>
  <c r="W50" i="3"/>
  <c r="U50" i="3"/>
  <c r="AC54" i="3"/>
  <c r="AA54" i="3"/>
  <c r="Y54" i="3"/>
  <c r="W54" i="3"/>
  <c r="U54" i="3"/>
  <c r="T57" i="3"/>
  <c r="AC57" i="3"/>
  <c r="AA57" i="3"/>
  <c r="Y57" i="3"/>
  <c r="W57" i="3"/>
  <c r="U57" i="3"/>
  <c r="T68" i="3"/>
  <c r="AC68" i="3"/>
  <c r="AA68" i="3"/>
  <c r="Y68" i="3"/>
  <c r="W68" i="3"/>
  <c r="U68" i="3"/>
  <c r="T74" i="3"/>
  <c r="AC74" i="3"/>
  <c r="AA74" i="3"/>
  <c r="Y74" i="3"/>
  <c r="W74" i="3"/>
  <c r="U74" i="3"/>
  <c r="T78" i="3"/>
  <c r="AC78" i="3"/>
  <c r="AA78" i="3"/>
  <c r="Y78" i="3"/>
  <c r="W78" i="3"/>
  <c r="U78" i="3"/>
  <c r="T24" i="3"/>
  <c r="T28" i="3"/>
  <c r="T50" i="3"/>
  <c r="U4" i="3"/>
  <c r="AC4" i="3"/>
  <c r="AA22" i="3"/>
  <c r="Y24" i="3"/>
  <c r="W26" i="3"/>
  <c r="U28" i="3"/>
  <c r="AC28" i="3"/>
  <c r="U30" i="3"/>
  <c r="W30" i="3"/>
  <c r="Y30" i="3"/>
  <c r="AA30" i="3"/>
  <c r="AC30" i="3"/>
  <c r="U35" i="3"/>
  <c r="W35" i="3"/>
  <c r="Y35" i="3"/>
  <c r="AA35" i="3"/>
  <c r="AC35" i="3"/>
  <c r="U39" i="3"/>
  <c r="W39" i="3"/>
  <c r="Y39" i="3"/>
  <c r="AA39" i="3"/>
  <c r="AC39" i="3"/>
  <c r="V41" i="3"/>
  <c r="Z41" i="3"/>
  <c r="X45" i="3"/>
  <c r="AB45" i="3"/>
  <c r="V47" i="3"/>
  <c r="Z47" i="3"/>
  <c r="X50" i="3"/>
  <c r="AB50" i="3"/>
  <c r="V54" i="3"/>
  <c r="Z54" i="3"/>
  <c r="X57" i="3"/>
  <c r="AB57" i="3"/>
  <c r="V68" i="3"/>
  <c r="Z68" i="3"/>
  <c r="X74" i="3"/>
  <c r="AB74" i="3"/>
  <c r="V78" i="3"/>
  <c r="Z78" i="3"/>
  <c r="T40" i="3"/>
  <c r="AB40" i="3"/>
  <c r="Z40" i="3"/>
  <c r="X40" i="3"/>
  <c r="V40" i="3"/>
  <c r="T42" i="3"/>
  <c r="AB42" i="3"/>
  <c r="Z42" i="3"/>
  <c r="X42" i="3"/>
  <c r="V42" i="3"/>
  <c r="T46" i="3"/>
  <c r="AB46" i="3"/>
  <c r="Z46" i="3"/>
  <c r="X46" i="3"/>
  <c r="V46" i="3"/>
  <c r="AB64" i="3"/>
  <c r="Z64" i="3"/>
  <c r="X64" i="3"/>
  <c r="V64" i="3"/>
  <c r="AB76" i="3"/>
  <c r="Z76" i="3"/>
  <c r="X76" i="3"/>
  <c r="V76" i="3"/>
  <c r="T22" i="3"/>
  <c r="T26" i="3"/>
  <c r="T30" i="3"/>
  <c r="T54" i="3"/>
  <c r="T76" i="3"/>
  <c r="U24" i="3"/>
  <c r="V30" i="3"/>
  <c r="X30" i="3"/>
  <c r="Z30" i="3"/>
  <c r="U32" i="3"/>
  <c r="W32" i="3"/>
  <c r="Y32" i="3"/>
  <c r="AA32" i="3"/>
  <c r="AC32" i="3"/>
  <c r="V35" i="3"/>
  <c r="X35" i="3"/>
  <c r="Z35" i="3"/>
  <c r="AB35" i="3"/>
  <c r="U36" i="3"/>
  <c r="W36" i="3"/>
  <c r="Y36" i="3"/>
  <c r="AA36" i="3"/>
  <c r="AC36" i="3"/>
  <c r="V39" i="3"/>
  <c r="X39" i="3"/>
  <c r="Z39" i="3"/>
  <c r="AB39" i="3"/>
  <c r="U40" i="3"/>
  <c r="Y40" i="3"/>
  <c r="AC40" i="3"/>
  <c r="X41" i="3"/>
  <c r="AB41" i="3"/>
  <c r="W42" i="3"/>
  <c r="AA42" i="3"/>
  <c r="V45" i="3"/>
  <c r="Z45" i="3"/>
  <c r="U46" i="3"/>
  <c r="Y46" i="3"/>
  <c r="AC46" i="3"/>
  <c r="X47" i="3"/>
  <c r="AB47" i="3"/>
  <c r="V50" i="3"/>
  <c r="Z50" i="3"/>
  <c r="X54" i="3"/>
  <c r="AB54" i="3"/>
  <c r="V57" i="3"/>
  <c r="Z57" i="3"/>
  <c r="U64" i="3"/>
  <c r="Y64" i="3"/>
  <c r="AC64" i="3"/>
  <c r="X68" i="3"/>
  <c r="AB68" i="3"/>
  <c r="V74" i="3"/>
  <c r="Z74" i="3"/>
  <c r="U76" i="3"/>
  <c r="Y76" i="3"/>
  <c r="AC76" i="3"/>
  <c r="X78" i="3"/>
  <c r="AB78" i="3"/>
  <c r="AC5" i="3"/>
  <c r="AA5" i="3"/>
  <c r="Y5" i="3"/>
  <c r="W5" i="3"/>
  <c r="U5" i="3"/>
  <c r="AB7" i="3"/>
  <c r="Z7" i="3"/>
  <c r="X7" i="3"/>
  <c r="V7" i="3"/>
  <c r="AB9" i="3"/>
  <c r="Z9" i="3"/>
  <c r="X9" i="3"/>
  <c r="V9" i="3"/>
  <c r="AB11" i="3"/>
  <c r="Z11" i="3"/>
  <c r="X11" i="3"/>
  <c r="V11" i="3"/>
  <c r="AC13" i="3"/>
  <c r="AA13" i="3"/>
  <c r="Y13" i="3"/>
  <c r="W13" i="3"/>
  <c r="U13" i="3"/>
  <c r="AB19" i="3"/>
  <c r="Z19" i="3"/>
  <c r="X19" i="3"/>
  <c r="V19" i="3"/>
  <c r="AC23" i="3"/>
  <c r="AA23" i="3"/>
  <c r="Y23" i="3"/>
  <c r="W23" i="3"/>
  <c r="U23" i="3"/>
  <c r="AC25" i="3"/>
  <c r="AA25" i="3"/>
  <c r="Y25" i="3"/>
  <c r="W25" i="3"/>
  <c r="U25" i="3"/>
  <c r="AC27" i="3"/>
  <c r="AA27" i="3"/>
  <c r="Y27" i="3"/>
  <c r="W27" i="3"/>
  <c r="U27" i="3"/>
  <c r="W3" i="3"/>
  <c r="AA3" i="3"/>
  <c r="T7" i="3"/>
  <c r="T9" i="3"/>
  <c r="T11" i="3"/>
  <c r="T19" i="3"/>
  <c r="X5" i="3"/>
  <c r="AB5" i="3"/>
  <c r="W7" i="3"/>
  <c r="AA7" i="3"/>
  <c r="U9" i="3"/>
  <c r="Y9" i="3"/>
  <c r="AC9" i="3"/>
  <c r="W11" i="3"/>
  <c r="AA11" i="3"/>
  <c r="V13" i="3"/>
  <c r="Z13" i="3"/>
  <c r="U19" i="3"/>
  <c r="Y19" i="3"/>
  <c r="AC19" i="3"/>
  <c r="V23" i="3"/>
  <c r="Z23" i="3"/>
  <c r="X25" i="3"/>
  <c r="AB25" i="3"/>
  <c r="V27" i="3"/>
  <c r="Z27" i="3"/>
  <c r="T4" i="3"/>
  <c r="AB4" i="3"/>
  <c r="Z4" i="3"/>
  <c r="X4" i="3"/>
  <c r="V4" i="3"/>
  <c r="AC8" i="3"/>
  <c r="AA8" i="3"/>
  <c r="Y8" i="3"/>
  <c r="W8" i="3"/>
  <c r="U8" i="3"/>
  <c r="AC10" i="3"/>
  <c r="AA10" i="3"/>
  <c r="Y10" i="3"/>
  <c r="W10" i="3"/>
  <c r="U10" i="3"/>
  <c r="AC20" i="3"/>
  <c r="AA20" i="3"/>
  <c r="Y20" i="3"/>
  <c r="W20" i="3"/>
  <c r="U20" i="3"/>
  <c r="AB22" i="3"/>
  <c r="Z22" i="3"/>
  <c r="X22" i="3"/>
  <c r="V22" i="3"/>
  <c r="AB24" i="3"/>
  <c r="Z24" i="3"/>
  <c r="X24" i="3"/>
  <c r="V24" i="3"/>
  <c r="AB26" i="3"/>
  <c r="Z26" i="3"/>
  <c r="X26" i="3"/>
  <c r="V26" i="3"/>
  <c r="AB28" i="3"/>
  <c r="Z28" i="3"/>
  <c r="X28" i="3"/>
  <c r="V28" i="3"/>
  <c r="U3" i="3"/>
  <c r="Y3" i="3"/>
  <c r="AC3" i="3"/>
  <c r="T5" i="3"/>
  <c r="T8" i="3"/>
  <c r="T10" i="3"/>
  <c r="T13" i="3"/>
  <c r="T20" i="3"/>
  <c r="T23" i="3"/>
  <c r="T25" i="3"/>
  <c r="T27" i="3"/>
  <c r="W4" i="3"/>
  <c r="AA4" i="3"/>
  <c r="V5" i="3"/>
  <c r="Z5" i="3"/>
  <c r="U7" i="3"/>
  <c r="Y7" i="3"/>
  <c r="AC7" i="3"/>
  <c r="X8" i="3"/>
  <c r="AB8" i="3"/>
  <c r="W9" i="3"/>
  <c r="AA9" i="3"/>
  <c r="V10" i="3"/>
  <c r="Z10" i="3"/>
  <c r="U11" i="3"/>
  <c r="Y11" i="3"/>
  <c r="AC11" i="3"/>
  <c r="X13" i="3"/>
  <c r="AB13" i="3"/>
  <c r="W19" i="3"/>
  <c r="AA19" i="3"/>
  <c r="V20" i="3"/>
  <c r="Z20" i="3"/>
  <c r="U22" i="3"/>
  <c r="Y22" i="3"/>
  <c r="AC22" i="3"/>
  <c r="X23" i="3"/>
  <c r="AB23" i="3"/>
  <c r="W24" i="3"/>
  <c r="AA24" i="3"/>
  <c r="V25" i="3"/>
  <c r="Z25" i="3"/>
  <c r="U26" i="3"/>
  <c r="Y26" i="3"/>
  <c r="AC26" i="3"/>
  <c r="X27" i="3"/>
  <c r="AB27" i="3"/>
  <c r="W28" i="3"/>
  <c r="AA28" i="3"/>
  <c r="T3" i="3"/>
  <c r="V3" i="3"/>
  <c r="X3" i="3"/>
  <c r="Z3" i="3"/>
  <c r="H13" i="2"/>
  <c r="J18" i="4"/>
  <c r="I18" i="4" s="1"/>
  <c r="D81" i="3"/>
  <c r="F81" i="3"/>
  <c r="E81" i="3"/>
  <c r="F82" i="3" l="1"/>
  <c r="D8" i="10" s="1"/>
  <c r="E82" i="3"/>
  <c r="D4" i="6" s="1"/>
  <c r="D5" i="6" s="1"/>
  <c r="AF81" i="3"/>
  <c r="D82" i="3"/>
  <c r="D9" i="9" s="1"/>
  <c r="X81" i="3"/>
  <c r="T81" i="3"/>
  <c r="AE3" i="3"/>
  <c r="AG3" i="3" s="1"/>
  <c r="AE25" i="3"/>
  <c r="AG25" i="3" s="1"/>
  <c r="AE20" i="3"/>
  <c r="AG20" i="3" s="1"/>
  <c r="AE10" i="3"/>
  <c r="AG10" i="3" s="1"/>
  <c r="AE5" i="3"/>
  <c r="AG5" i="3" s="1"/>
  <c r="AB81" i="3"/>
  <c r="AE19" i="3"/>
  <c r="AG19" i="3" s="1"/>
  <c r="AE9" i="3"/>
  <c r="AG9" i="3" s="1"/>
  <c r="AE76" i="3"/>
  <c r="AG76" i="3" s="1"/>
  <c r="AE30" i="3"/>
  <c r="AG30" i="3" s="1"/>
  <c r="AE22" i="3"/>
  <c r="AE42" i="3"/>
  <c r="AG42" i="3" s="1"/>
  <c r="AE39" i="3"/>
  <c r="AG39" i="3" s="1"/>
  <c r="AE50" i="3"/>
  <c r="AG50" i="3" s="1"/>
  <c r="AE24" i="3"/>
  <c r="AG24" i="3" s="1"/>
  <c r="AE78" i="3"/>
  <c r="AG78" i="3" s="1"/>
  <c r="AE74" i="3"/>
  <c r="AG74" i="3" s="1"/>
  <c r="AE68" i="3"/>
  <c r="AG68" i="3" s="1"/>
  <c r="AE57" i="3"/>
  <c r="AG57" i="3" s="1"/>
  <c r="AE47" i="3"/>
  <c r="AG47" i="3" s="1"/>
  <c r="AE45" i="3"/>
  <c r="AE41" i="3"/>
  <c r="AG41" i="3" s="1"/>
  <c r="AE79" i="3"/>
  <c r="AG79" i="3" s="1"/>
  <c r="AE69" i="3"/>
  <c r="AG69" i="3" s="1"/>
  <c r="AE55" i="3"/>
  <c r="AG55" i="3" s="1"/>
  <c r="AE51" i="3"/>
  <c r="AG51" i="3" s="1"/>
  <c r="AE49" i="3"/>
  <c r="AG49" i="3" s="1"/>
  <c r="AE29" i="3"/>
  <c r="AG29" i="3" s="1"/>
  <c r="AD81" i="3"/>
  <c r="AE36" i="3"/>
  <c r="AG36" i="3" s="1"/>
  <c r="AE32" i="3"/>
  <c r="AG32" i="3" s="1"/>
  <c r="AE27" i="3"/>
  <c r="AG27" i="3" s="1"/>
  <c r="AE23" i="3"/>
  <c r="AG23" i="3" s="1"/>
  <c r="AE13" i="3"/>
  <c r="AG13" i="3" s="1"/>
  <c r="AE8" i="3"/>
  <c r="AG8" i="3" s="1"/>
  <c r="AE4" i="3"/>
  <c r="AG4" i="3" s="1"/>
  <c r="AE11" i="3"/>
  <c r="AG11" i="3" s="1"/>
  <c r="AE7" i="3"/>
  <c r="AE54" i="3"/>
  <c r="AG54" i="3" s="1"/>
  <c r="AE26" i="3"/>
  <c r="AE46" i="3"/>
  <c r="AG46" i="3" s="1"/>
  <c r="AE40" i="3"/>
  <c r="AG40" i="3" s="1"/>
  <c r="AE35" i="3"/>
  <c r="AG35" i="3" s="1"/>
  <c r="AE28" i="3"/>
  <c r="AG28" i="3" s="1"/>
  <c r="AE64" i="3"/>
  <c r="AG64" i="3" s="1"/>
  <c r="AG22" i="3"/>
  <c r="Y81" i="3"/>
  <c r="AA81" i="3"/>
  <c r="Z81" i="3"/>
  <c r="V81" i="3"/>
  <c r="AG26" i="3"/>
  <c r="AC81" i="3"/>
  <c r="U81" i="3"/>
  <c r="W81" i="3"/>
  <c r="AG45" i="3"/>
  <c r="AG7" i="3"/>
  <c r="I19" i="4"/>
  <c r="I21" i="4"/>
  <c r="J21" i="4"/>
  <c r="J19" i="4"/>
  <c r="N21" i="4" s="1"/>
  <c r="D3" i="2"/>
  <c r="D2" i="2"/>
  <c r="D9" i="2" l="1"/>
  <c r="D9" i="7"/>
  <c r="D9" i="10"/>
  <c r="D10" i="10"/>
  <c r="D4" i="12"/>
  <c r="D5" i="12" s="1"/>
  <c r="D6" i="12" s="1"/>
  <c r="D9" i="12"/>
  <c r="D8" i="12"/>
  <c r="D10" i="12" s="1"/>
  <c r="D12" i="12" s="1"/>
  <c r="D6" i="6"/>
  <c r="D12" i="6"/>
  <c r="D83" i="3"/>
  <c r="D84" i="3" s="1"/>
  <c r="D9" i="5"/>
  <c r="E84" i="3"/>
  <c r="D4" i="7"/>
  <c r="D5" i="7" s="1"/>
  <c r="D6" i="7" s="1"/>
  <c r="D4" i="5"/>
  <c r="D5" i="5" s="1"/>
  <c r="D6" i="5" s="1"/>
  <c r="D4" i="10"/>
  <c r="D5" i="10" s="1"/>
  <c r="D6" i="10" s="1"/>
  <c r="F84" i="3"/>
  <c r="D8" i="5"/>
  <c r="D8" i="9"/>
  <c r="D10" i="9" s="1"/>
  <c r="D4" i="2"/>
  <c r="D5" i="2" s="1"/>
  <c r="D4" i="9"/>
  <c r="D5" i="9" s="1"/>
  <c r="D6" i="9" s="1"/>
  <c r="D8" i="2"/>
  <c r="D10" i="2" s="1"/>
  <c r="D8" i="7"/>
  <c r="D10" i="7" s="1"/>
  <c r="AE81" i="3"/>
  <c r="AG81" i="3" s="1"/>
  <c r="G13" i="2"/>
  <c r="K19" i="4"/>
  <c r="I20" i="4"/>
  <c r="K20" i="4" s="1"/>
  <c r="P21" i="4"/>
  <c r="O21" i="4"/>
  <c r="N20" i="4"/>
  <c r="K21" i="4"/>
  <c r="K9" i="12" l="1"/>
  <c r="L9" i="12" s="1"/>
  <c r="K6" i="12"/>
  <c r="L6" i="12" s="1"/>
  <c r="K4" i="12"/>
  <c r="L4" i="12" s="1"/>
  <c r="K8" i="12"/>
  <c r="L8" i="12" s="1"/>
  <c r="K3" i="12"/>
  <c r="K5" i="12"/>
  <c r="L5" i="12" s="1"/>
  <c r="K7" i="12"/>
  <c r="L7" i="12" s="1"/>
  <c r="D12" i="7"/>
  <c r="D10" i="5"/>
  <c r="D12" i="5" s="1"/>
  <c r="D12" i="2"/>
  <c r="D6" i="2"/>
  <c r="K10" i="10"/>
  <c r="L10" i="10" s="1"/>
  <c r="K4" i="10"/>
  <c r="L4" i="10" s="1"/>
  <c r="K5" i="10"/>
  <c r="L5" i="10" s="1"/>
  <c r="K8" i="10"/>
  <c r="L8" i="10" s="1"/>
  <c r="K3" i="10"/>
  <c r="K9" i="10"/>
  <c r="L9" i="10" s="1"/>
  <c r="K6" i="10"/>
  <c r="L6" i="10" s="1"/>
  <c r="K12" i="10"/>
  <c r="L12" i="10" s="1"/>
  <c r="K7" i="10"/>
  <c r="L7" i="10" s="1"/>
  <c r="K11" i="10"/>
  <c r="L11" i="10" s="1"/>
  <c r="K9" i="7"/>
  <c r="L9" i="7" s="1"/>
  <c r="K11" i="7"/>
  <c r="L11" i="7" s="1"/>
  <c r="K5" i="7"/>
  <c r="L5" i="7" s="1"/>
  <c r="K3" i="7"/>
  <c r="K7" i="7"/>
  <c r="L7" i="7" s="1"/>
  <c r="K10" i="7"/>
  <c r="L10" i="7" s="1"/>
  <c r="K12" i="7"/>
  <c r="L12" i="7" s="1"/>
  <c r="K6" i="7"/>
  <c r="L6" i="7" s="1"/>
  <c r="K4" i="7"/>
  <c r="L4" i="7" s="1"/>
  <c r="K8" i="7"/>
  <c r="L8" i="7" s="1"/>
  <c r="K10" i="9"/>
  <c r="L10" i="9" s="1"/>
  <c r="K12" i="9"/>
  <c r="L12" i="9" s="1"/>
  <c r="K8" i="9"/>
  <c r="L8" i="9" s="1"/>
  <c r="K6" i="9"/>
  <c r="L6" i="9" s="1"/>
  <c r="K4" i="9"/>
  <c r="L4" i="9" s="1"/>
  <c r="K9" i="9"/>
  <c r="L9" i="9" s="1"/>
  <c r="K11" i="9"/>
  <c r="L11" i="9" s="1"/>
  <c r="K7" i="9"/>
  <c r="L7" i="9" s="1"/>
  <c r="K5" i="9"/>
  <c r="L5" i="9" s="1"/>
  <c r="K3" i="9"/>
  <c r="D12" i="9"/>
  <c r="K10" i="5"/>
  <c r="L10" i="5" s="1"/>
  <c r="K6" i="5"/>
  <c r="L6" i="5" s="1"/>
  <c r="K11" i="5"/>
  <c r="L11" i="5" s="1"/>
  <c r="K7" i="5"/>
  <c r="L7" i="5" s="1"/>
  <c r="K3" i="5"/>
  <c r="K12" i="5"/>
  <c r="L12" i="5" s="1"/>
  <c r="K8" i="5"/>
  <c r="L8" i="5" s="1"/>
  <c r="K4" i="5"/>
  <c r="L4" i="5" s="1"/>
  <c r="K9" i="5"/>
  <c r="L9" i="5" s="1"/>
  <c r="K5" i="5"/>
  <c r="L5" i="5" s="1"/>
  <c r="D12" i="10"/>
  <c r="K6" i="6"/>
  <c r="L6" i="6" s="1"/>
  <c r="K7" i="6"/>
  <c r="L7" i="6" s="1"/>
  <c r="K5" i="6"/>
  <c r="L5" i="6" s="1"/>
  <c r="K9" i="6"/>
  <c r="L9" i="6" s="1"/>
  <c r="K4" i="6"/>
  <c r="L4" i="6" s="1"/>
  <c r="K3" i="6"/>
  <c r="K8" i="6"/>
  <c r="L8" i="6" s="1"/>
  <c r="O20" i="4"/>
  <c r="P20" i="4"/>
  <c r="N19" i="4"/>
  <c r="Q21" i="4"/>
  <c r="E68" i="12" l="1"/>
  <c r="F68" i="12" s="1"/>
  <c r="G68" i="12" s="1"/>
  <c r="E54" i="12"/>
  <c r="F54" i="12" s="1"/>
  <c r="G54" i="12" s="1"/>
  <c r="E42" i="12"/>
  <c r="F42" i="12" s="1"/>
  <c r="G42" i="12" s="1"/>
  <c r="N7" i="12"/>
  <c r="E20" i="12"/>
  <c r="F31" i="12"/>
  <c r="G31" i="12" s="1"/>
  <c r="F29" i="12"/>
  <c r="G29" i="12" s="1"/>
  <c r="E40" i="12"/>
  <c r="F40" i="12" s="1"/>
  <c r="G40" i="12" s="1"/>
  <c r="E18" i="12"/>
  <c r="N5" i="12"/>
  <c r="E52" i="12"/>
  <c r="F52" i="12" s="1"/>
  <c r="G52" i="12" s="1"/>
  <c r="E66" i="12"/>
  <c r="F66" i="12" s="1"/>
  <c r="G66" i="12" s="1"/>
  <c r="L3" i="12"/>
  <c r="K13" i="12"/>
  <c r="E69" i="12"/>
  <c r="F69" i="12" s="1"/>
  <c r="G69" i="12" s="1"/>
  <c r="E43" i="12"/>
  <c r="F43" i="12" s="1"/>
  <c r="G43" i="12" s="1"/>
  <c r="E21" i="12"/>
  <c r="E55" i="12"/>
  <c r="F55" i="12" s="1"/>
  <c r="G55" i="12" s="1"/>
  <c r="F32" i="12"/>
  <c r="G32" i="12" s="1"/>
  <c r="N8" i="12"/>
  <c r="E17" i="12"/>
  <c r="E51" i="12"/>
  <c r="F51" i="12" s="1"/>
  <c r="G51" i="12" s="1"/>
  <c r="E39" i="12"/>
  <c r="F39" i="12" s="1"/>
  <c r="G39" i="12" s="1"/>
  <c r="N4" i="12"/>
  <c r="E65" i="12"/>
  <c r="F65" i="12" s="1"/>
  <c r="G65" i="12" s="1"/>
  <c r="F28" i="12"/>
  <c r="G28" i="12" s="1"/>
  <c r="E53" i="12"/>
  <c r="F53" i="12" s="1"/>
  <c r="G53" i="12" s="1"/>
  <c r="E41" i="12"/>
  <c r="F41" i="12" s="1"/>
  <c r="G41" i="12" s="1"/>
  <c r="E67" i="12"/>
  <c r="F67" i="12" s="1"/>
  <c r="G67" i="12" s="1"/>
  <c r="F30" i="12"/>
  <c r="G30" i="12" s="1"/>
  <c r="E19" i="12"/>
  <c r="N6" i="12"/>
  <c r="N9" i="12"/>
  <c r="E44" i="12"/>
  <c r="F44" i="12" s="1"/>
  <c r="G44" i="12" s="1"/>
  <c r="E70" i="12"/>
  <c r="F70" i="12" s="1"/>
  <c r="G70" i="12" s="1"/>
  <c r="E56" i="12"/>
  <c r="F56" i="12" s="1"/>
  <c r="G56" i="12" s="1"/>
  <c r="F33" i="12"/>
  <c r="G33" i="12" s="1"/>
  <c r="E22" i="12"/>
  <c r="E68" i="6"/>
  <c r="F68" i="6" s="1"/>
  <c r="G68" i="6" s="1"/>
  <c r="N9" i="6"/>
  <c r="E56" i="6"/>
  <c r="F56" i="6" s="1"/>
  <c r="G56" i="6" s="1"/>
  <c r="E44" i="6"/>
  <c r="F44" i="6" s="1"/>
  <c r="G44" i="6" s="1"/>
  <c r="E22" i="6"/>
  <c r="F33" i="6"/>
  <c r="G33" i="6" s="1"/>
  <c r="E63" i="5"/>
  <c r="F63" i="5" s="1"/>
  <c r="G63" i="5" s="1"/>
  <c r="F36" i="5"/>
  <c r="G36" i="5" s="1"/>
  <c r="N9" i="5"/>
  <c r="E77" i="5"/>
  <c r="F77" i="5" s="1"/>
  <c r="G77" i="5" s="1"/>
  <c r="E49" i="5"/>
  <c r="F49" i="5" s="1"/>
  <c r="G49" i="5" s="1"/>
  <c r="E22" i="5"/>
  <c r="L3" i="5"/>
  <c r="K13" i="5"/>
  <c r="E64" i="5"/>
  <c r="F64" i="5" s="1"/>
  <c r="G64" i="5" s="1"/>
  <c r="F37" i="5"/>
  <c r="G37" i="5" s="1"/>
  <c r="N10" i="5"/>
  <c r="E78" i="5"/>
  <c r="F78" i="5" s="1"/>
  <c r="G78" i="5" s="1"/>
  <c r="E50" i="5"/>
  <c r="F50" i="5" s="1"/>
  <c r="G50" i="5" s="1"/>
  <c r="E23" i="5"/>
  <c r="K13" i="9"/>
  <c r="L3" i="9"/>
  <c r="E77" i="9"/>
  <c r="F77" i="9" s="1"/>
  <c r="G77" i="9" s="1"/>
  <c r="F36" i="9"/>
  <c r="G36" i="9" s="1"/>
  <c r="E49" i="9"/>
  <c r="F49" i="9" s="1"/>
  <c r="G49" i="9" s="1"/>
  <c r="E63" i="9"/>
  <c r="F63" i="9" s="1"/>
  <c r="G63" i="9" s="1"/>
  <c r="N9" i="9"/>
  <c r="E22" i="9"/>
  <c r="E25" i="9"/>
  <c r="N12" i="9"/>
  <c r="E76" i="7"/>
  <c r="F76" i="7" s="1"/>
  <c r="G76" i="7" s="1"/>
  <c r="E48" i="7"/>
  <c r="F48" i="7" s="1"/>
  <c r="G48" i="7" s="1"/>
  <c r="N8" i="7"/>
  <c r="E62" i="7"/>
  <c r="F62" i="7" s="1"/>
  <c r="G62" i="7" s="1"/>
  <c r="F35" i="7"/>
  <c r="G35" i="7" s="1"/>
  <c r="E21" i="7"/>
  <c r="E74" i="7"/>
  <c r="F74" i="7" s="1"/>
  <c r="G74" i="7" s="1"/>
  <c r="E46" i="7"/>
  <c r="F46" i="7" s="1"/>
  <c r="G46" i="7" s="1"/>
  <c r="N6" i="7"/>
  <c r="E60" i="7"/>
  <c r="F60" i="7" s="1"/>
  <c r="G60" i="7" s="1"/>
  <c r="F33" i="7"/>
  <c r="G33" i="7" s="1"/>
  <c r="E19" i="7"/>
  <c r="E78" i="7"/>
  <c r="F78" i="7" s="1"/>
  <c r="G78" i="7" s="1"/>
  <c r="N10" i="7"/>
  <c r="F37" i="7"/>
  <c r="G37" i="7" s="1"/>
  <c r="E64" i="7"/>
  <c r="F64" i="7" s="1"/>
  <c r="G64" i="7" s="1"/>
  <c r="E50" i="7"/>
  <c r="F50" i="7" s="1"/>
  <c r="G50" i="7" s="1"/>
  <c r="E23" i="7"/>
  <c r="K13" i="7"/>
  <c r="L3" i="7"/>
  <c r="E79" i="7"/>
  <c r="F79" i="7" s="1"/>
  <c r="G79" i="7" s="1"/>
  <c r="F38" i="7"/>
  <c r="G38" i="7" s="1"/>
  <c r="E51" i="7"/>
  <c r="F51" i="7" s="1"/>
  <c r="G51" i="7" s="1"/>
  <c r="E65" i="7"/>
  <c r="F65" i="7" s="1"/>
  <c r="G65" i="7" s="1"/>
  <c r="E24" i="7"/>
  <c r="N11" i="7"/>
  <c r="E65" i="10"/>
  <c r="F65" i="10" s="1"/>
  <c r="G65" i="10" s="1"/>
  <c r="E51" i="10"/>
  <c r="F51" i="10" s="1"/>
  <c r="G51" i="10" s="1"/>
  <c r="N11" i="10"/>
  <c r="E79" i="10"/>
  <c r="F79" i="10" s="1"/>
  <c r="G79" i="10" s="1"/>
  <c r="F38" i="10"/>
  <c r="G38" i="10" s="1"/>
  <c r="E24" i="10"/>
  <c r="E25" i="10"/>
  <c r="N12" i="10"/>
  <c r="E77" i="10"/>
  <c r="F77" i="10" s="1"/>
  <c r="G77" i="10" s="1"/>
  <c r="E49" i="10"/>
  <c r="F49" i="10" s="1"/>
  <c r="G49" i="10" s="1"/>
  <c r="E63" i="10"/>
  <c r="F63" i="10" s="1"/>
  <c r="G63" i="10" s="1"/>
  <c r="E22" i="10"/>
  <c r="N9" i="10"/>
  <c r="F36" i="10"/>
  <c r="G36" i="10" s="1"/>
  <c r="E62" i="10"/>
  <c r="F62" i="10" s="1"/>
  <c r="G62" i="10" s="1"/>
  <c r="E48" i="10"/>
  <c r="F48" i="10" s="1"/>
  <c r="G48" i="10" s="1"/>
  <c r="N8" i="10"/>
  <c r="E76" i="10"/>
  <c r="F76" i="10" s="1"/>
  <c r="G76" i="10" s="1"/>
  <c r="E21" i="10"/>
  <c r="F35" i="10"/>
  <c r="G35" i="10" s="1"/>
  <c r="E58" i="10"/>
  <c r="F58" i="10" s="1"/>
  <c r="G58" i="10" s="1"/>
  <c r="E44" i="10"/>
  <c r="F44" i="10" s="1"/>
  <c r="G44" i="10" s="1"/>
  <c r="N4" i="10"/>
  <c r="E72" i="10"/>
  <c r="F72" i="10" s="1"/>
  <c r="G72" i="10" s="1"/>
  <c r="E17" i="10"/>
  <c r="F31" i="10"/>
  <c r="G31" i="10" s="1"/>
  <c r="J9" i="2"/>
  <c r="K9" i="2" s="1"/>
  <c r="L9" i="2" s="1"/>
  <c r="J7" i="2"/>
  <c r="K7" i="2" s="1"/>
  <c r="L7" i="2" s="1"/>
  <c r="J3" i="2"/>
  <c r="J10" i="2"/>
  <c r="K10" i="2" s="1"/>
  <c r="L10" i="2" s="1"/>
  <c r="J6" i="2"/>
  <c r="K6" i="2" s="1"/>
  <c r="L6" i="2" s="1"/>
  <c r="J11" i="2"/>
  <c r="K11" i="2" s="1"/>
  <c r="L11" i="2" s="1"/>
  <c r="J5" i="2"/>
  <c r="K5" i="2" s="1"/>
  <c r="L5" i="2" s="1"/>
  <c r="J12" i="2"/>
  <c r="K12" i="2" s="1"/>
  <c r="L12" i="2" s="1"/>
  <c r="J8" i="2"/>
  <c r="K8" i="2" s="1"/>
  <c r="L8" i="2" s="1"/>
  <c r="J4" i="2"/>
  <c r="K4" i="2" s="1"/>
  <c r="L4" i="2" s="1"/>
  <c r="L3" i="6"/>
  <c r="K10" i="6"/>
  <c r="E66" i="6"/>
  <c r="F66" i="6" s="1"/>
  <c r="G66" i="6" s="1"/>
  <c r="F31" i="6"/>
  <c r="G31" i="6" s="1"/>
  <c r="E20" i="6"/>
  <c r="E54" i="6"/>
  <c r="F54" i="6" s="1"/>
  <c r="G54" i="6" s="1"/>
  <c r="E42" i="6"/>
  <c r="F42" i="6" s="1"/>
  <c r="G42" i="6" s="1"/>
  <c r="N7" i="6"/>
  <c r="E62" i="5"/>
  <c r="F62" i="5" s="1"/>
  <c r="G62" i="5" s="1"/>
  <c r="F35" i="5"/>
  <c r="G35" i="5" s="1"/>
  <c r="N8" i="5"/>
  <c r="E76" i="5"/>
  <c r="F76" i="5" s="1"/>
  <c r="G76" i="5" s="1"/>
  <c r="E48" i="5"/>
  <c r="F48" i="5" s="1"/>
  <c r="G48" i="5" s="1"/>
  <c r="E21" i="5"/>
  <c r="E65" i="5"/>
  <c r="F65" i="5" s="1"/>
  <c r="G65" i="5" s="1"/>
  <c r="F38" i="5"/>
  <c r="G38" i="5" s="1"/>
  <c r="N11" i="5"/>
  <c r="E79" i="5"/>
  <c r="F79" i="5" s="1"/>
  <c r="G79" i="5" s="1"/>
  <c r="E51" i="5"/>
  <c r="F51" i="5" s="1"/>
  <c r="G51" i="5" s="1"/>
  <c r="E24" i="5"/>
  <c r="E75" i="9"/>
  <c r="F75" i="9" s="1"/>
  <c r="G75" i="9" s="1"/>
  <c r="F34" i="9"/>
  <c r="G34" i="9" s="1"/>
  <c r="E20" i="9"/>
  <c r="E61" i="9"/>
  <c r="F61" i="9" s="1"/>
  <c r="G61" i="9" s="1"/>
  <c r="E47" i="9"/>
  <c r="F47" i="9" s="1"/>
  <c r="G47" i="9" s="1"/>
  <c r="N7" i="9"/>
  <c r="E74" i="9"/>
  <c r="F74" i="9" s="1"/>
  <c r="G74" i="9" s="1"/>
  <c r="E46" i="9"/>
  <c r="F46" i="9" s="1"/>
  <c r="G46" i="9" s="1"/>
  <c r="E19" i="9"/>
  <c r="E60" i="9"/>
  <c r="F60" i="9" s="1"/>
  <c r="G60" i="9" s="1"/>
  <c r="F33" i="9"/>
  <c r="G33" i="9" s="1"/>
  <c r="N6" i="9"/>
  <c r="Q20" i="4"/>
  <c r="E55" i="6"/>
  <c r="F55" i="6" s="1"/>
  <c r="G55" i="6" s="1"/>
  <c r="E43" i="6"/>
  <c r="F43" i="6" s="1"/>
  <c r="G43" i="6" s="1"/>
  <c r="E67" i="6"/>
  <c r="F67" i="6" s="1"/>
  <c r="G67" i="6" s="1"/>
  <c r="F32" i="6"/>
  <c r="G32" i="6" s="1"/>
  <c r="N8" i="6"/>
  <c r="E21" i="6"/>
  <c r="E63" i="6"/>
  <c r="F63" i="6" s="1"/>
  <c r="G63" i="6" s="1"/>
  <c r="F28" i="6"/>
  <c r="G28" i="6" s="1"/>
  <c r="E51" i="6"/>
  <c r="F51" i="6" s="1"/>
  <c r="G51" i="6" s="1"/>
  <c r="E39" i="6"/>
  <c r="F39" i="6" s="1"/>
  <c r="G39" i="6" s="1"/>
  <c r="N4" i="6"/>
  <c r="E17" i="6"/>
  <c r="E64" i="6"/>
  <c r="F64" i="6" s="1"/>
  <c r="G64" i="6" s="1"/>
  <c r="E52" i="6"/>
  <c r="F52" i="6" s="1"/>
  <c r="G52" i="6" s="1"/>
  <c r="E18" i="6"/>
  <c r="E40" i="6"/>
  <c r="F40" i="6" s="1"/>
  <c r="G40" i="6" s="1"/>
  <c r="F29" i="6"/>
  <c r="G29" i="6" s="1"/>
  <c r="N5" i="6"/>
  <c r="E65" i="6"/>
  <c r="F65" i="6" s="1"/>
  <c r="G65" i="6" s="1"/>
  <c r="E19" i="6"/>
  <c r="E41" i="6"/>
  <c r="F41" i="6" s="1"/>
  <c r="G41" i="6" s="1"/>
  <c r="E53" i="6"/>
  <c r="F53" i="6" s="1"/>
  <c r="G53" i="6" s="1"/>
  <c r="N6" i="6"/>
  <c r="F30" i="6"/>
  <c r="G30" i="6" s="1"/>
  <c r="N5" i="5"/>
  <c r="E59" i="5"/>
  <c r="F59" i="5" s="1"/>
  <c r="G59" i="5" s="1"/>
  <c r="F32" i="5"/>
  <c r="G32" i="5" s="1"/>
  <c r="E18" i="5"/>
  <c r="E73" i="5"/>
  <c r="F73" i="5" s="1"/>
  <c r="G73" i="5" s="1"/>
  <c r="E45" i="5"/>
  <c r="F45" i="5" s="1"/>
  <c r="G45" i="5" s="1"/>
  <c r="E72" i="5"/>
  <c r="F72" i="5" s="1"/>
  <c r="G72" i="5" s="1"/>
  <c r="E58" i="5"/>
  <c r="F58" i="5" s="1"/>
  <c r="G58" i="5" s="1"/>
  <c r="F31" i="5"/>
  <c r="G31" i="5" s="1"/>
  <c r="E17" i="5"/>
  <c r="N4" i="5"/>
  <c r="E44" i="5"/>
  <c r="F44" i="5" s="1"/>
  <c r="G44" i="5" s="1"/>
  <c r="E25" i="5"/>
  <c r="N12" i="5"/>
  <c r="N7" i="5"/>
  <c r="E61" i="5"/>
  <c r="F61" i="5" s="1"/>
  <c r="G61" i="5" s="1"/>
  <c r="F34" i="5"/>
  <c r="G34" i="5" s="1"/>
  <c r="E20" i="5"/>
  <c r="E75" i="5"/>
  <c r="F75" i="5" s="1"/>
  <c r="G75" i="5" s="1"/>
  <c r="E47" i="5"/>
  <c r="F47" i="5" s="1"/>
  <c r="G47" i="5" s="1"/>
  <c r="E74" i="5"/>
  <c r="F74" i="5" s="1"/>
  <c r="G74" i="5" s="1"/>
  <c r="N6" i="5"/>
  <c r="F33" i="5"/>
  <c r="G33" i="5" s="1"/>
  <c r="E19" i="5"/>
  <c r="E60" i="5"/>
  <c r="F60" i="5" s="1"/>
  <c r="G60" i="5" s="1"/>
  <c r="E46" i="5"/>
  <c r="F46" i="5" s="1"/>
  <c r="G46" i="5" s="1"/>
  <c r="E73" i="9"/>
  <c r="F73" i="9" s="1"/>
  <c r="G73" i="9" s="1"/>
  <c r="F32" i="9"/>
  <c r="G32" i="9" s="1"/>
  <c r="E18" i="9"/>
  <c r="E59" i="9"/>
  <c r="F59" i="9" s="1"/>
  <c r="G59" i="9" s="1"/>
  <c r="E45" i="9"/>
  <c r="F45" i="9" s="1"/>
  <c r="G45" i="9" s="1"/>
  <c r="N5" i="9"/>
  <c r="E79" i="9"/>
  <c r="F79" i="9" s="1"/>
  <c r="G79" i="9" s="1"/>
  <c r="F38" i="9"/>
  <c r="G38" i="9" s="1"/>
  <c r="E24" i="9"/>
  <c r="E65" i="9"/>
  <c r="F65" i="9" s="1"/>
  <c r="G65" i="9" s="1"/>
  <c r="E51" i="9"/>
  <c r="F51" i="9" s="1"/>
  <c r="G51" i="9" s="1"/>
  <c r="N11" i="9"/>
  <c r="E72" i="9"/>
  <c r="F72" i="9" s="1"/>
  <c r="G72" i="9" s="1"/>
  <c r="E44" i="9"/>
  <c r="F44" i="9" s="1"/>
  <c r="G44" i="9" s="1"/>
  <c r="E17" i="9"/>
  <c r="E58" i="9"/>
  <c r="F58" i="9" s="1"/>
  <c r="G58" i="9" s="1"/>
  <c r="F31" i="9"/>
  <c r="G31" i="9" s="1"/>
  <c r="N4" i="9"/>
  <c r="E76" i="9"/>
  <c r="F76" i="9" s="1"/>
  <c r="G76" i="9" s="1"/>
  <c r="E48" i="9"/>
  <c r="F48" i="9" s="1"/>
  <c r="G48" i="9" s="1"/>
  <c r="E21" i="9"/>
  <c r="E62" i="9"/>
  <c r="F62" i="9" s="1"/>
  <c r="G62" i="9" s="1"/>
  <c r="F35" i="9"/>
  <c r="G35" i="9" s="1"/>
  <c r="N8" i="9"/>
  <c r="E78" i="9"/>
  <c r="F78" i="9" s="1"/>
  <c r="G78" i="9" s="1"/>
  <c r="N10" i="9"/>
  <c r="F37" i="9"/>
  <c r="G37" i="9" s="1"/>
  <c r="E64" i="9"/>
  <c r="F64" i="9" s="1"/>
  <c r="G64" i="9" s="1"/>
  <c r="E50" i="9"/>
  <c r="F50" i="9" s="1"/>
  <c r="G50" i="9" s="1"/>
  <c r="E23" i="9"/>
  <c r="E72" i="7"/>
  <c r="F72" i="7" s="1"/>
  <c r="G72" i="7" s="1"/>
  <c r="E44" i="7"/>
  <c r="F44" i="7" s="1"/>
  <c r="G44" i="7" s="1"/>
  <c r="N4" i="7"/>
  <c r="E58" i="7"/>
  <c r="F58" i="7" s="1"/>
  <c r="G58" i="7" s="1"/>
  <c r="F31" i="7"/>
  <c r="G31" i="7" s="1"/>
  <c r="E17" i="7"/>
  <c r="E25" i="7"/>
  <c r="N12" i="7"/>
  <c r="E75" i="7"/>
  <c r="F75" i="7" s="1"/>
  <c r="G75" i="7" s="1"/>
  <c r="F34" i="7"/>
  <c r="G34" i="7" s="1"/>
  <c r="E47" i="7"/>
  <c r="F47" i="7" s="1"/>
  <c r="G47" i="7" s="1"/>
  <c r="E61" i="7"/>
  <c r="F61" i="7" s="1"/>
  <c r="G61" i="7" s="1"/>
  <c r="E20" i="7"/>
  <c r="N7" i="7"/>
  <c r="E73" i="7"/>
  <c r="F73" i="7" s="1"/>
  <c r="G73" i="7" s="1"/>
  <c r="F32" i="7"/>
  <c r="G32" i="7" s="1"/>
  <c r="N5" i="7"/>
  <c r="E59" i="7"/>
  <c r="F59" i="7" s="1"/>
  <c r="G59" i="7" s="1"/>
  <c r="E18" i="7"/>
  <c r="E45" i="7"/>
  <c r="F45" i="7" s="1"/>
  <c r="G45" i="7" s="1"/>
  <c r="E77" i="7"/>
  <c r="F77" i="7" s="1"/>
  <c r="G77" i="7" s="1"/>
  <c r="F36" i="7"/>
  <c r="G36" i="7" s="1"/>
  <c r="E22" i="7"/>
  <c r="E63" i="7"/>
  <c r="F63" i="7" s="1"/>
  <c r="G63" i="7" s="1"/>
  <c r="N9" i="7"/>
  <c r="E49" i="7"/>
  <c r="F49" i="7" s="1"/>
  <c r="G49" i="7" s="1"/>
  <c r="E61" i="10"/>
  <c r="F61" i="10" s="1"/>
  <c r="G61" i="10" s="1"/>
  <c r="E47" i="10"/>
  <c r="F47" i="10" s="1"/>
  <c r="G47" i="10" s="1"/>
  <c r="N7" i="10"/>
  <c r="E75" i="10"/>
  <c r="F75" i="10" s="1"/>
  <c r="G75" i="10" s="1"/>
  <c r="F34" i="10"/>
  <c r="G34" i="10" s="1"/>
  <c r="E20" i="10"/>
  <c r="E60" i="10"/>
  <c r="F60" i="10" s="1"/>
  <c r="G60" i="10" s="1"/>
  <c r="E74" i="10"/>
  <c r="F74" i="10" s="1"/>
  <c r="G74" i="10" s="1"/>
  <c r="E46" i="10"/>
  <c r="F46" i="10" s="1"/>
  <c r="G46" i="10" s="1"/>
  <c r="E19" i="10"/>
  <c r="N6" i="10"/>
  <c r="F33" i="10"/>
  <c r="G33" i="10" s="1"/>
  <c r="L3" i="10"/>
  <c r="K13" i="10"/>
  <c r="E73" i="10"/>
  <c r="F73" i="10" s="1"/>
  <c r="G73" i="10" s="1"/>
  <c r="F32" i="10"/>
  <c r="G32" i="10" s="1"/>
  <c r="E18" i="10"/>
  <c r="E59" i="10"/>
  <c r="F59" i="10" s="1"/>
  <c r="G59" i="10" s="1"/>
  <c r="E45" i="10"/>
  <c r="F45" i="10" s="1"/>
  <c r="G45" i="10" s="1"/>
  <c r="N5" i="10"/>
  <c r="E64" i="10"/>
  <c r="F64" i="10" s="1"/>
  <c r="G64" i="10" s="1"/>
  <c r="E23" i="10"/>
  <c r="F37" i="10"/>
  <c r="G37" i="10" s="1"/>
  <c r="E78" i="10"/>
  <c r="F78" i="10" s="1"/>
  <c r="G78" i="10" s="1"/>
  <c r="N10" i="10"/>
  <c r="E50" i="10"/>
  <c r="F50" i="10" s="1"/>
  <c r="G50" i="10" s="1"/>
  <c r="O19" i="4"/>
  <c r="N18" i="4"/>
  <c r="P19" i="4"/>
  <c r="F19" i="12" l="1"/>
  <c r="G19" i="12"/>
  <c r="E50" i="12"/>
  <c r="F27" i="12"/>
  <c r="E16" i="12"/>
  <c r="N3" i="12"/>
  <c r="N13" i="12" s="1"/>
  <c r="E64" i="12"/>
  <c r="E38" i="12"/>
  <c r="L13" i="12"/>
  <c r="F18" i="12"/>
  <c r="G18" i="12"/>
  <c r="F22" i="12"/>
  <c r="G22" i="12"/>
  <c r="F17" i="12"/>
  <c r="G17" i="12"/>
  <c r="F20" i="12"/>
  <c r="G20" i="12"/>
  <c r="G21" i="12"/>
  <c r="F21" i="12"/>
  <c r="G18" i="10"/>
  <c r="F18" i="10"/>
  <c r="E71" i="10"/>
  <c r="F30" i="10"/>
  <c r="L13" i="10"/>
  <c r="N3" i="10"/>
  <c r="N13" i="10" s="1"/>
  <c r="E57" i="10"/>
  <c r="E43" i="10"/>
  <c r="E16" i="10"/>
  <c r="F22" i="7"/>
  <c r="G22" i="7"/>
  <c r="F18" i="7"/>
  <c r="G18" i="7"/>
  <c r="F20" i="7"/>
  <c r="G20" i="7"/>
  <c r="G25" i="7"/>
  <c r="F25" i="7"/>
  <c r="G21" i="9"/>
  <c r="F21" i="9"/>
  <c r="G17" i="9"/>
  <c r="F17" i="9"/>
  <c r="G24" i="9"/>
  <c r="F24" i="9"/>
  <c r="G18" i="9"/>
  <c r="F18" i="9"/>
  <c r="G25" i="5"/>
  <c r="F25" i="5"/>
  <c r="G18" i="6"/>
  <c r="F18" i="6"/>
  <c r="F24" i="5"/>
  <c r="G24" i="5"/>
  <c r="G21" i="5"/>
  <c r="F21" i="5"/>
  <c r="F22" i="10"/>
  <c r="G22" i="10"/>
  <c r="G24" i="10"/>
  <c r="F24" i="10"/>
  <c r="E71" i="7"/>
  <c r="F30" i="7"/>
  <c r="N3" i="7"/>
  <c r="N13" i="7" s="1"/>
  <c r="L13" i="7"/>
  <c r="E57" i="7"/>
  <c r="E16" i="7"/>
  <c r="E43" i="7"/>
  <c r="F23" i="7"/>
  <c r="G23" i="7"/>
  <c r="F19" i="7"/>
  <c r="G19" i="7"/>
  <c r="F21" i="7"/>
  <c r="G21" i="7"/>
  <c r="G22" i="9"/>
  <c r="F22" i="9"/>
  <c r="E71" i="9"/>
  <c r="F30" i="9"/>
  <c r="E16" i="9"/>
  <c r="N3" i="9"/>
  <c r="N13" i="9" s="1"/>
  <c r="E57" i="9"/>
  <c r="E43" i="9"/>
  <c r="L13" i="9"/>
  <c r="F23" i="5"/>
  <c r="G23" i="5"/>
  <c r="G22" i="5"/>
  <c r="F22" i="5"/>
  <c r="G23" i="10"/>
  <c r="F23" i="10"/>
  <c r="F19" i="10"/>
  <c r="G19" i="10"/>
  <c r="G20" i="10"/>
  <c r="F20" i="10"/>
  <c r="F17" i="7"/>
  <c r="G17" i="7"/>
  <c r="F23" i="9"/>
  <c r="G23" i="9"/>
  <c r="F19" i="5"/>
  <c r="G19" i="5"/>
  <c r="F20" i="5"/>
  <c r="G20" i="5"/>
  <c r="G17" i="5"/>
  <c r="F17" i="5"/>
  <c r="F18" i="5"/>
  <c r="G18" i="5"/>
  <c r="F19" i="6"/>
  <c r="G19" i="6"/>
  <c r="F17" i="6"/>
  <c r="G17" i="6"/>
  <c r="G21" i="6"/>
  <c r="F21" i="6"/>
  <c r="G19" i="9"/>
  <c r="F19" i="9"/>
  <c r="G20" i="9"/>
  <c r="F20" i="9"/>
  <c r="F20" i="6"/>
  <c r="G20" i="6"/>
  <c r="E50" i="6"/>
  <c r="E38" i="6"/>
  <c r="N3" i="6"/>
  <c r="N10" i="6" s="1"/>
  <c r="E62" i="6"/>
  <c r="F27" i="6"/>
  <c r="L10" i="6"/>
  <c r="E16" i="6"/>
  <c r="K3" i="2"/>
  <c r="J13" i="2"/>
  <c r="F17" i="10"/>
  <c r="G17" i="10"/>
  <c r="G21" i="10"/>
  <c r="F21" i="10"/>
  <c r="F25" i="10"/>
  <c r="G25" i="10"/>
  <c r="F24" i="7"/>
  <c r="G24" i="7"/>
  <c r="G25" i="9"/>
  <c r="F25" i="9"/>
  <c r="N3" i="5"/>
  <c r="N13" i="5" s="1"/>
  <c r="E71" i="5"/>
  <c r="F30" i="5"/>
  <c r="E16" i="5"/>
  <c r="E57" i="5"/>
  <c r="E43" i="5"/>
  <c r="L13" i="5"/>
  <c r="F22" i="6"/>
  <c r="G22" i="6"/>
  <c r="Q19" i="4"/>
  <c r="P18" i="4"/>
  <c r="O18" i="4"/>
  <c r="Q18" i="4" s="1"/>
  <c r="N17" i="4"/>
  <c r="E45" i="12" l="1"/>
  <c r="F38" i="12"/>
  <c r="F45" i="12" s="1"/>
  <c r="G38" i="12"/>
  <c r="G45" i="12" s="1"/>
  <c r="G64" i="12"/>
  <c r="G73" i="12" s="1"/>
  <c r="F64" i="12"/>
  <c r="F73" i="12" s="1"/>
  <c r="E73" i="12"/>
  <c r="E23" i="12"/>
  <c r="F16" i="12"/>
  <c r="F23" i="12" s="1"/>
  <c r="G16" i="12"/>
  <c r="G23" i="12" s="1"/>
  <c r="F34" i="12"/>
  <c r="G27" i="12"/>
  <c r="G34" i="12" s="1"/>
  <c r="E59" i="12"/>
  <c r="G50" i="12"/>
  <c r="G59" i="12" s="1"/>
  <c r="F50" i="12"/>
  <c r="F59" i="12" s="1"/>
  <c r="G43" i="5"/>
  <c r="G52" i="5" s="1"/>
  <c r="F43" i="5"/>
  <c r="F52" i="5" s="1"/>
  <c r="E52" i="5"/>
  <c r="E80" i="5"/>
  <c r="G71" i="5"/>
  <c r="G80" i="5" s="1"/>
  <c r="F71" i="5"/>
  <c r="F80" i="5" s="1"/>
  <c r="E23" i="6"/>
  <c r="G16" i="6"/>
  <c r="G23" i="6" s="1"/>
  <c r="F16" i="6"/>
  <c r="F23" i="6" s="1"/>
  <c r="G27" i="6"/>
  <c r="G34" i="6" s="1"/>
  <c r="F34" i="6"/>
  <c r="G50" i="6"/>
  <c r="G57" i="6" s="1"/>
  <c r="E57" i="6"/>
  <c r="F50" i="6"/>
  <c r="F57" i="6" s="1"/>
  <c r="E52" i="9"/>
  <c r="G43" i="9"/>
  <c r="G52" i="9" s="1"/>
  <c r="F43" i="9"/>
  <c r="F52" i="9" s="1"/>
  <c r="G30" i="9"/>
  <c r="G39" i="9" s="1"/>
  <c r="F39" i="9"/>
  <c r="E52" i="7"/>
  <c r="G43" i="7"/>
  <c r="G52" i="7" s="1"/>
  <c r="F43" i="7"/>
  <c r="F52" i="7" s="1"/>
  <c r="E66" i="7"/>
  <c r="F57" i="7"/>
  <c r="F66" i="7" s="1"/>
  <c r="G57" i="7"/>
  <c r="G66" i="7" s="1"/>
  <c r="G71" i="7"/>
  <c r="G80" i="7" s="1"/>
  <c r="E80" i="7"/>
  <c r="F71" i="7"/>
  <c r="F80" i="7" s="1"/>
  <c r="F43" i="10"/>
  <c r="F52" i="10" s="1"/>
  <c r="E52" i="10"/>
  <c r="G43" i="10"/>
  <c r="G52" i="10" s="1"/>
  <c r="G30" i="10"/>
  <c r="G39" i="10" s="1"/>
  <c r="F39" i="10"/>
  <c r="F16" i="5"/>
  <c r="F26" i="5" s="1"/>
  <c r="E26" i="5"/>
  <c r="G16" i="5"/>
  <c r="G26" i="5" s="1"/>
  <c r="G57" i="5"/>
  <c r="G66" i="5" s="1"/>
  <c r="E66" i="5"/>
  <c r="F57" i="5"/>
  <c r="F66" i="5" s="1"/>
  <c r="F39" i="5"/>
  <c r="G30" i="5"/>
  <c r="G39" i="5" s="1"/>
  <c r="L3" i="2"/>
  <c r="K13" i="2"/>
  <c r="G62" i="6"/>
  <c r="G69" i="6" s="1"/>
  <c r="E69" i="6"/>
  <c r="F62" i="6"/>
  <c r="F69" i="6" s="1"/>
  <c r="F38" i="6"/>
  <c r="F45" i="6" s="1"/>
  <c r="E45" i="6"/>
  <c r="G38" i="6"/>
  <c r="G45" i="6" s="1"/>
  <c r="G57" i="9"/>
  <c r="G66" i="9" s="1"/>
  <c r="E66" i="9"/>
  <c r="F57" i="9"/>
  <c r="F66" i="9" s="1"/>
  <c r="E26" i="9"/>
  <c r="G16" i="9"/>
  <c r="G26" i="9" s="1"/>
  <c r="F16" i="9"/>
  <c r="F26" i="9" s="1"/>
  <c r="G71" i="9"/>
  <c r="G80" i="9" s="1"/>
  <c r="E80" i="9"/>
  <c r="F71" i="9"/>
  <c r="F80" i="9" s="1"/>
  <c r="F16" i="7"/>
  <c r="F26" i="7" s="1"/>
  <c r="E26" i="7"/>
  <c r="G16" i="7"/>
  <c r="G26" i="7" s="1"/>
  <c r="G30" i="7"/>
  <c r="G39" i="7" s="1"/>
  <c r="F39" i="7"/>
  <c r="E26" i="10"/>
  <c r="G16" i="10"/>
  <c r="G26" i="10" s="1"/>
  <c r="F16" i="10"/>
  <c r="F26" i="10" s="1"/>
  <c r="E66" i="10"/>
  <c r="F57" i="10"/>
  <c r="F66" i="10" s="1"/>
  <c r="G57" i="10"/>
  <c r="G66" i="10" s="1"/>
  <c r="G71" i="10"/>
  <c r="G80" i="10" s="1"/>
  <c r="E80" i="10"/>
  <c r="F71" i="10"/>
  <c r="F80" i="10" s="1"/>
  <c r="O17" i="4"/>
  <c r="P17" i="4"/>
  <c r="Q1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tc={F18AE8A9-32F5-4D5B-A13F-ED6735190E22}</author>
    <author>tc={6D85256D-8BE0-4AF3-BF9A-B8B1C7E27FB8}</author>
  </authors>
  <commentList>
    <comment ref="C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C16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tc={EC46A3AD-94FE-4EB9-9BEA-F4C6E65097F6}</author>
    <author>tc={289BF9E4-C7F2-4D52-9148-A7250CF619F5}</author>
    <author>tc={0EC4AF8C-5855-46DF-9B72-D0D238B93959}</author>
    <author>tc={418F7BFC-92B0-4000-987D-B1824B3475DC}</author>
    <author>tc={F460774A-5692-449F-A314-1F8BC43476F3}</author>
  </authors>
  <commentList>
    <comment ref="D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6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37" authorId="2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9" authorId="3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63" authorId="4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tc={B610DFAC-A0AB-4FC0-9676-25C2FA7D97E3}</author>
    <author>tc={915A291C-2544-44F7-88A4-B61BD5415FFC}</author>
    <author>tc={119B92BF-56FB-49F1-8A47-AB0EA7442639}</author>
    <author>tc={A3FBE969-371A-4224-BF26-4B1AC442B4CF}</author>
    <author>tc={A71FC739-B6B0-4E04-AD27-10B1425F09FF}</author>
  </authors>
  <commentList>
    <comment ref="D1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9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2" authorId="2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56" authorId="3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70" authorId="4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tc={FD1E9CAF-208F-4170-8C79-68507A138781}</author>
    <author>tc={AE5FA71F-279F-4719-9B2B-8B97E64801E2}</author>
    <author>tc={BEF4C4D5-AF4A-4C94-91C3-6F93E4F4D225}</author>
    <author>tc={BA110744-71F6-4806-BCE8-0DABAC8763B0}</author>
    <author>tc={B51DC232-1E91-4B38-B5FA-CDF00A1928D9}</author>
  </authors>
  <commentList>
    <comment ref="D15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4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35" authorId="2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7" authorId="3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59" authorId="4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tc={D810F123-9A81-4C45-AD6D-B76F7127D456}</author>
    <author>tc={9B4D8274-2FB5-4F61-AEA8-AE26A3656F4F}</author>
    <author>tc={DB1E34B7-800B-4923-9049-F83033B77C0D}</author>
    <author>tc={33DAF52B-B855-44D8-B8F4-4E5114433D11}</author>
    <author>tc={76381E5C-ADF3-4120-9D05-1DD355F4DDAD}</author>
  </authors>
  <commentList>
    <comment ref="D15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6" authorId="1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37" authorId="2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9" authorId="3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61" authorId="4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tc={6858A3B1-135A-42AE-8992-B740E06E0A73}</author>
    <author>tc={36FFB565-798A-4E96-95D3-BF08A9B74AA9}</author>
    <author>tc={7AD8B038-F51E-4D92-B3E0-B6C9FC96D3E1}</author>
    <author>tc={C91D21D0-9F33-4B74-AB84-F7F6C45AA601}</author>
    <author>tc={C1F5139B-728F-4EDD-B4BD-2F0FF89F1694}</author>
  </authors>
  <commentList>
    <comment ref="D15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9" authorId="1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2" authorId="2" shapeId="0" xr:uid="{00000000-0006-0000-05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56" authorId="3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70" authorId="4" shapeId="0" xr:uid="{00000000-0006-0000-05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tc={AC184578-35E1-45F5-B984-C3D4273B46DF}</author>
    <author>tc={3F4DCB41-7F50-4682-B200-59B5B2C6C214}</author>
    <author>tc={B7C483BA-D04E-4945-89ED-B701FBF4E2B1}</author>
    <author>tc={18ADEA43-FA83-4021-A47A-3DE2F4A7EDD1}</author>
    <author>tc={9853A9B4-3463-470A-8546-8BC38D557D1F}</author>
  </authors>
  <commentList>
    <comment ref="D15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9" authorId="1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2" authorId="2" shapeId="0" xr:uid="{00000000-0006-0000-06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56" authorId="3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70" authorId="4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tc={924964CA-28C1-4393-9DC6-7C577B8EEED6}</author>
    <author>tc={DFCC4E4B-52BC-4917-BFCD-F1B7C64C3F79}</author>
    <author>tc={DB332E16-ED67-435E-9E37-0295146F9A20}</author>
    <author>tc={C89D118B-7FAB-4A36-888C-8ADF4575511A}</author>
    <author>tc={D72C4EFC-74B7-4951-B405-80EBF5678094}</author>
  </authors>
  <commentList>
    <comment ref="D15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29" authorId="1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42" authorId="2" shapeId="0" xr:uid="{00000000-0006-0000-07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56" authorId="3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  <comment ref="D70" authorId="4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RECEITA - CUSTOS E DESPESAS VARIAVEIS (IMPOSTOS) DIVIDIDO PELA QUANTIDADE DE ALUNOS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tc={79BF55D1-5658-4A45-91D5-D4B07BBB61F8}</author>
  </authors>
  <commentList>
    <comment ref="H19" authorId="0" shapeId="0" xr:uid="{00000000-0006-0000-0B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CONSIDERAMOS QUE 90% DOS ALUNOS PAGAM COM O DESCONTO</t>
        </r>
      </text>
    </comment>
  </commentList>
</comments>
</file>

<file path=xl/sharedStrings.xml><?xml version="1.0" encoding="utf-8"?>
<sst xmlns="http://schemas.openxmlformats.org/spreadsheetml/2006/main" count="1241" uniqueCount="305">
  <si>
    <t>NOME PROFESSOR</t>
  </si>
  <si>
    <t>curso</t>
  </si>
  <si>
    <t>Adalberto Cesário da Hora</t>
  </si>
  <si>
    <t>Adriana Galvão Moura Abílio</t>
  </si>
  <si>
    <t>Alessandra Karina Otuka</t>
  </si>
  <si>
    <t>Alexson Filgueiras Dutra</t>
  </si>
  <si>
    <t>Alfredo Argus</t>
  </si>
  <si>
    <t>Ana Maria Zanoni da Silva</t>
  </si>
  <si>
    <t>André Luiz Pipino</t>
  </si>
  <si>
    <t>Angelo Aparecido Sastre</t>
  </si>
  <si>
    <t>Ary Rodrigues Alves Netto</t>
  </si>
  <si>
    <t>Clóvis Antônio Benedini Lima</t>
  </si>
  <si>
    <t>Damaris Cunha de Godoy</t>
  </si>
  <si>
    <t>Daniela Pereira Tincani</t>
  </si>
  <si>
    <t>Danielle Riergermann R. Damião</t>
  </si>
  <si>
    <t>Danilo Pereira Lima</t>
  </si>
  <si>
    <t>Danusa Teodoro Sampaio</t>
  </si>
  <si>
    <t>Diego Diniz Ribeiro</t>
  </si>
  <si>
    <t xml:space="preserve">Edgard Henrique Costa Silva </t>
  </si>
  <si>
    <t>Edméia Corrêa Netto</t>
  </si>
  <si>
    <t>Eduardo de Carvalho Machione</t>
  </si>
  <si>
    <t>Érika Cristina Pedroso Pereira</t>
  </si>
  <si>
    <t>Fabio Rocha Caliari</t>
  </si>
  <si>
    <t>Fernando Galvão Moura</t>
  </si>
  <si>
    <t>Geovana Geloni Parra</t>
  </si>
  <si>
    <t>Gustavo Henrique S. Nunes</t>
  </si>
  <si>
    <t>João Alberto Fischer Filho</t>
  </si>
  <si>
    <t>João Emmanuel Ribeiro Guimarães</t>
  </si>
  <si>
    <t>Josney Freitas Silva</t>
  </si>
  <si>
    <t>Josué Justino do Rio</t>
  </si>
  <si>
    <t>Letícia Aparecida Origuela</t>
  </si>
  <si>
    <t>Lívia Pelli Palumbo (Liçença)</t>
  </si>
  <si>
    <t>Lívia Felicio Barreto</t>
  </si>
  <si>
    <t>Lucas Gibin Seren</t>
  </si>
  <si>
    <t>Luis Antonio Nogueira</t>
  </si>
  <si>
    <t>Luiz Carlos Jaca</t>
  </si>
  <si>
    <t>Luiz Flávio José dos Santos</t>
  </si>
  <si>
    <t>Marcelo Ramos</t>
  </si>
  <si>
    <t>Marcus Lúcius de Carvalho Corrêa</t>
  </si>
  <si>
    <t>Maria Cristina P. Machado Sanches</t>
  </si>
  <si>
    <t>Patricia Helena de Avila Jacyntho</t>
  </si>
  <si>
    <t>Raquel Antônia da Cruz Argollo</t>
  </si>
  <si>
    <t>Renata  Cipolli D arbo</t>
  </si>
  <si>
    <t>Renata Fernandes de Queiroz</t>
  </si>
  <si>
    <t>Rosiane Sasso Rissi</t>
  </si>
  <si>
    <t>Sofia Muniz Alves Gracioli</t>
  </si>
  <si>
    <t>Tatiane Pereira da Silva</t>
  </si>
  <si>
    <t>Tercia  Almeida de Oliveira</t>
  </si>
  <si>
    <t>Hrs</t>
  </si>
  <si>
    <t>CC</t>
  </si>
  <si>
    <t>ADM</t>
  </si>
  <si>
    <t>ADM - D</t>
  </si>
  <si>
    <t>DIR</t>
  </si>
  <si>
    <t>EGA</t>
  </si>
  <si>
    <t>SS</t>
  </si>
  <si>
    <t>ADM  - CC</t>
  </si>
  <si>
    <t>DIR - D</t>
  </si>
  <si>
    <t>JOR</t>
  </si>
  <si>
    <t>PP</t>
  </si>
  <si>
    <t>AU</t>
  </si>
  <si>
    <t>EGA - SD</t>
  </si>
  <si>
    <t>TOTAL DE HORAS</t>
  </si>
  <si>
    <t>18 Hrs</t>
  </si>
  <si>
    <t>2 Hrs</t>
  </si>
  <si>
    <t>8 Hrs</t>
  </si>
  <si>
    <t>12 Hrs</t>
  </si>
  <si>
    <t>16 Hrs</t>
  </si>
  <si>
    <t>14 Hrs</t>
  </si>
  <si>
    <t>10 Hrs</t>
  </si>
  <si>
    <t>20 Hrs</t>
  </si>
  <si>
    <t>28 Hrs</t>
  </si>
  <si>
    <t>24 Hrs</t>
  </si>
  <si>
    <t>22 Hrs</t>
  </si>
  <si>
    <t>6 Hrs</t>
  </si>
  <si>
    <t>34 Hrs</t>
  </si>
  <si>
    <t>LEGENDA</t>
  </si>
  <si>
    <t>Administração</t>
  </si>
  <si>
    <t>Arquitetura e Urbanismo</t>
  </si>
  <si>
    <t>Ciências Contábeis</t>
  </si>
  <si>
    <t>Administração - Diurno</t>
  </si>
  <si>
    <t>Direito</t>
  </si>
  <si>
    <t>Direito - Diurno</t>
  </si>
  <si>
    <t>Engenharia Agronômica</t>
  </si>
  <si>
    <t>Engenharia Agronômica - Sábado e Domingo</t>
  </si>
  <si>
    <t>Jornalismo</t>
  </si>
  <si>
    <t>Publicidade e Propaganda</t>
  </si>
  <si>
    <t>Serviços Sociais</t>
  </si>
  <si>
    <t>DESPESAS DE MANUTENÇÃO</t>
  </si>
  <si>
    <t>ANO</t>
  </si>
  <si>
    <t>1/6</t>
  </si>
  <si>
    <t>SERVIÇOS DE MANUTENÇÃO</t>
  </si>
  <si>
    <t>FOLHA ADMINISTRATIVO</t>
  </si>
  <si>
    <t>Administração Diurno</t>
  </si>
  <si>
    <t>Administração Noturno</t>
  </si>
  <si>
    <t>Direito Diurno</t>
  </si>
  <si>
    <t>Direito Noturno</t>
  </si>
  <si>
    <t>Serviço Social</t>
  </si>
  <si>
    <t>Comunicação Social</t>
  </si>
  <si>
    <t>Pós Graduação</t>
  </si>
  <si>
    <t>ADMINIST.</t>
  </si>
  <si>
    <t>LUIZ FERNANDO ANDRADE</t>
  </si>
  <si>
    <t>RAQUEL A. DA CRUZ</t>
  </si>
  <si>
    <t>LUCAS GIBIN SEREN</t>
  </si>
  <si>
    <t>DANIEL AUGUSTO M DA SILVA</t>
  </si>
  <si>
    <t>CESAR AP. MOREIRA JUNIOR</t>
  </si>
  <si>
    <t>FABIO CALIARI</t>
  </si>
  <si>
    <t>LUIZ A. NOGUEIRA</t>
  </si>
  <si>
    <t>EDUARDO C. MACHIONE</t>
  </si>
  <si>
    <t>EDMEIA CORREA NETTO</t>
  </si>
  <si>
    <t>JOAO E. R. GUIMARAES</t>
  </si>
  <si>
    <t>MARCUS L. C. CORREA</t>
  </si>
  <si>
    <t>MARIA C. P MACHADO SANCHES</t>
  </si>
  <si>
    <t>DAMARIS C. GODOY</t>
  </si>
  <si>
    <t>PATRICIA HELENA A. JACYNTHO</t>
  </si>
  <si>
    <t>ROSANGELA B. DA SILVA</t>
  </si>
  <si>
    <t>ANTONIO TESCAROLO FILHO</t>
  </si>
  <si>
    <t>JUSSARA C. CECCHETTO</t>
  </si>
  <si>
    <t>LUCIANA SIVIERO FERREIRA</t>
  </si>
  <si>
    <t>BRENA N. AMERICO</t>
  </si>
  <si>
    <t>RODRIGO FERREIRA BARBARA</t>
  </si>
  <si>
    <t>MARIA LUIZA DA SILVA</t>
  </si>
  <si>
    <t>NORMA A. T. MACHADO</t>
  </si>
  <si>
    <t>VERA LUCIA R. M. REGINATO</t>
  </si>
  <si>
    <t>RENATA CIPOLLI</t>
  </si>
  <si>
    <t>ADALBERTO C. DA HORA</t>
  </si>
  <si>
    <t>MARCELO RAMOS</t>
  </si>
  <si>
    <t>ANDRE LUIZ PIPINO</t>
  </si>
  <si>
    <t>HORAS / CURSO</t>
  </si>
  <si>
    <t>DIREITO</t>
  </si>
  <si>
    <t>CIENCIAS CONTABEIS</t>
  </si>
  <si>
    <t>ADMINISTRAÇÃO</t>
  </si>
  <si>
    <t>SERVIÇO SOCIAL</t>
  </si>
  <si>
    <t>AGRONOMIA</t>
  </si>
  <si>
    <t>PUBLICIDADE</t>
  </si>
  <si>
    <t>ARQUITETURA</t>
  </si>
  <si>
    <t>COLABORADOR</t>
  </si>
  <si>
    <t>COORDENAÇÃO</t>
  </si>
  <si>
    <t>*</t>
  </si>
  <si>
    <t>DIEGO DINIZ RIBEIRO</t>
  </si>
  <si>
    <t>ROSIANE SASSO RISSI</t>
  </si>
  <si>
    <t>GUSTAVO H. S. NUNES</t>
  </si>
  <si>
    <t>DANIELLE R. R. DAMIÃO</t>
  </si>
  <si>
    <t>ALFREDO ARGUS</t>
  </si>
  <si>
    <t>PÓS</t>
  </si>
  <si>
    <t>SOFIA MUNIZ A. GRACIOLI</t>
  </si>
  <si>
    <t>ANA MARIA Z. SILVA</t>
  </si>
  <si>
    <t>JOSNEY F. SILVA</t>
  </si>
  <si>
    <t>LUIZ CARLOS JACA</t>
  </si>
  <si>
    <t>DANIELA P. TINCANI</t>
  </si>
  <si>
    <t>CLEUSA M. BILORO</t>
  </si>
  <si>
    <t>PEDRO R. P. P. LAMBIASI</t>
  </si>
  <si>
    <t>CLOVIS A. B. LIMA</t>
  </si>
  <si>
    <t>JOÃO A. F. FILHO</t>
  </si>
  <si>
    <t>CARLOS E. BERENGUEL</t>
  </si>
  <si>
    <t>ISABELA DA SILVA FERREIRA</t>
  </si>
  <si>
    <t>MONISE ULIAN DA CRUZ PAPEL</t>
  </si>
  <si>
    <t>EZEQUIAS T. CORREIA</t>
  </si>
  <si>
    <t>LAIS GARCIA PEDROZA</t>
  </si>
  <si>
    <t>MARLI B. INACIO</t>
  </si>
  <si>
    <t>IVANETE GARCIA</t>
  </si>
  <si>
    <t>MARIA DE FATIMA DIAS</t>
  </si>
  <si>
    <t>FERNANDO VIZICATO</t>
  </si>
  <si>
    <t>CARLOS E. MARCOMINI JR</t>
  </si>
  <si>
    <t>ROBERTO A. O. FILHO</t>
  </si>
  <si>
    <t>MARCEL A. ROSA LUI</t>
  </si>
  <si>
    <t>MARI NELZA H. N. FERREIRA</t>
  </si>
  <si>
    <t>ALEX G. DA SILVA</t>
  </si>
  <si>
    <t>RODRIGO DOMINGOS</t>
  </si>
  <si>
    <t>GABRIEL F. DE ARAUJO</t>
  </si>
  <si>
    <t>NATALIA F. FIGUEIRA</t>
  </si>
  <si>
    <t>REGIANE A. E. MADEIRA</t>
  </si>
  <si>
    <t>TATIANA M. DA SILVA</t>
  </si>
  <si>
    <t>SILVANO A. DE OLIVEIRA</t>
  </si>
  <si>
    <t>TATIANE P. DA SILVA</t>
  </si>
  <si>
    <t>TERCIA A. DE OLIVEIRA</t>
  </si>
  <si>
    <t>ADRIANA G. M. ABILIO</t>
  </si>
  <si>
    <t>ALESSANDRA K. OTUKA</t>
  </si>
  <si>
    <t>ALEXSON F. DUTRA</t>
  </si>
  <si>
    <t>DANILO P. LIMA</t>
  </si>
  <si>
    <t>DANUSA T. SAMPAIO</t>
  </si>
  <si>
    <t>EDGARD H. C. SILVA</t>
  </si>
  <si>
    <t>ERIKA C. P. PEREIRA</t>
  </si>
  <si>
    <t>GEOVANA G. PARRA</t>
  </si>
  <si>
    <t>JOSUE J. DO RIO</t>
  </si>
  <si>
    <t>LETICIA A. ORIGUELA</t>
  </si>
  <si>
    <t>RENATA F. QUEIROZ</t>
  </si>
  <si>
    <t>LUIZ F. J. DOS SANTOS</t>
  </si>
  <si>
    <t>LIVIA F. BARRETO</t>
  </si>
  <si>
    <t>ARY R. ALVEZ NETTO</t>
  </si>
  <si>
    <t>GRADUAÇÃO</t>
  </si>
  <si>
    <t>ARQ.URB</t>
  </si>
  <si>
    <t>CONTAB.</t>
  </si>
  <si>
    <t>DIREITO - D</t>
  </si>
  <si>
    <t>ENG. AGR.</t>
  </si>
  <si>
    <t>JORN.</t>
  </si>
  <si>
    <t>PUBLIC.</t>
  </si>
  <si>
    <t>S.SOCIAL</t>
  </si>
  <si>
    <t>ANGELO A. SASTRE</t>
  </si>
  <si>
    <t>TOTAL</t>
  </si>
  <si>
    <t>R$ HR</t>
  </si>
  <si>
    <t>FOLHA</t>
  </si>
  <si>
    <t>CUSTO OPER.</t>
  </si>
  <si>
    <t>FOLHA PGTO</t>
  </si>
  <si>
    <t>COORDEN.</t>
  </si>
  <si>
    <t>CUSTO OPERACIONAL POR ALUNO</t>
  </si>
  <si>
    <t>Administração:</t>
  </si>
  <si>
    <t>Comunicação Social:</t>
  </si>
  <si>
    <t>Serviço Social:</t>
  </si>
  <si>
    <t>- 1º Administração Diurno - 12 alunos;</t>
  </si>
  <si>
    <r>
      <t>- </t>
    </r>
    <r>
      <rPr>
        <sz val="12"/>
        <color rgb="FF000000"/>
        <rFont val="Calibri"/>
        <family val="2"/>
        <scheme val="minor"/>
      </rPr>
      <t>4º Comunicação Social - 7 alunos;</t>
    </r>
  </si>
  <si>
    <t>- 4º Serviço Social - 4 alunos;</t>
  </si>
  <si>
    <t>- 2º Administração Diurno - 19 alunos;</t>
  </si>
  <si>
    <t>- 1º Administração Noturno - 30 alunos;</t>
  </si>
  <si>
    <t>Direito:</t>
  </si>
  <si>
    <t>- 2º Administração Noturno - 29 alunos;</t>
  </si>
  <si>
    <r>
      <t>- </t>
    </r>
    <r>
      <rPr>
        <sz val="12"/>
        <color rgb="FF000000"/>
        <rFont val="Calibri"/>
        <family val="2"/>
        <scheme val="minor"/>
      </rPr>
      <t>1º Direito Diurno - 47 alunos;</t>
    </r>
  </si>
  <si>
    <t>- 3º Administração Noturno - 30 alunos;</t>
  </si>
  <si>
    <t>- 2º Direito Diurno - 37 alunos;</t>
  </si>
  <si>
    <t>- 4º Administração Noturno - 31 alunos;</t>
  </si>
  <si>
    <t>- 3º Direito Diurno - 33 alunos;</t>
  </si>
  <si>
    <t>- 4º Direito Diurno - 20 alunos;</t>
  </si>
  <si>
    <t>Arquitetura e Urbanismo:</t>
  </si>
  <si>
    <t>- 1º Direito Noturno - 18 alunos;</t>
  </si>
  <si>
    <t>- 1º Arquitetura e Urbanismo Noturno - 6 alunos;</t>
  </si>
  <si>
    <t>- 2º Direito Noturno - 24 alunos;</t>
  </si>
  <si>
    <t>- 2º Arquitetura e Urbanismo Noturno - 14 alunos;</t>
  </si>
  <si>
    <t>- 3º Direito Noturno - 16 alunos;</t>
  </si>
  <si>
    <t>- 4º Arquitetura e Urbanismo Noturno - 9 alunos;</t>
  </si>
  <si>
    <t>- 4º Direito Noturno - 33 alunos;</t>
  </si>
  <si>
    <t>- 5º Arquitetura e Urbanismo Noturno - 21 alunos;</t>
  </si>
  <si>
    <t>- 5º Direito Noturno - 33 alunos;</t>
  </si>
  <si>
    <t>EXPECTATIVA DE ALUNOS ANO</t>
  </si>
  <si>
    <r>
      <t>Ciências Contábeis</t>
    </r>
    <r>
      <rPr>
        <sz val="12"/>
        <color rgb="FF000000"/>
        <rFont val="Calibri"/>
        <family val="2"/>
        <scheme val="minor"/>
      </rPr>
      <t>:</t>
    </r>
  </si>
  <si>
    <t>Engenharia Agronômica:</t>
  </si>
  <si>
    <t>MÊS</t>
  </si>
  <si>
    <t>ALUNOS</t>
  </si>
  <si>
    <t>VALOR C/ DESC.</t>
  </si>
  <si>
    <t>VALOR S/ DESC.</t>
  </si>
  <si>
    <t>- 1º Ciências Contábeis - 6 alunos;</t>
  </si>
  <si>
    <r>
      <t>- </t>
    </r>
    <r>
      <rPr>
        <sz val="12"/>
        <color rgb="FF000000"/>
        <rFont val="Calibri"/>
        <family val="2"/>
        <scheme val="minor"/>
      </rPr>
      <t>1º Engenharia Agronômica - 17 alunos;</t>
    </r>
  </si>
  <si>
    <t>JANEIRO</t>
  </si>
  <si>
    <t>- 2º Ciências Contábeis - 14 alunos;</t>
  </si>
  <si>
    <t>- 2º Engenharia Agronômica - 20 alunos;</t>
  </si>
  <si>
    <t>MEDIO</t>
  </si>
  <si>
    <t>FEVEREIRO</t>
  </si>
  <si>
    <t>- 3º Ciências Contábeis - 11 alunos;</t>
  </si>
  <si>
    <t>- 3º Engenharia Agronômica - 22 alunos;</t>
  </si>
  <si>
    <t>DESCONTO PONTUALIDADE</t>
  </si>
  <si>
    <t>MARÇO</t>
  </si>
  <si>
    <t>- 4º Ciências Contábeis - 10 alunos;</t>
  </si>
  <si>
    <t>- 4º Engenharia Agronômica - 22 alunos;</t>
  </si>
  <si>
    <t>C/ DESCONTO</t>
  </si>
  <si>
    <t>ABRIL</t>
  </si>
  <si>
    <t>- 5º Engenharia Agronômica - 16 alunos;</t>
  </si>
  <si>
    <t>SE/ DESCONTO</t>
  </si>
  <si>
    <t>MAIO</t>
  </si>
  <si>
    <t>Pós Graduação Gestão Estratégica de Pessoas</t>
  </si>
  <si>
    <t>617</t>
  </si>
  <si>
    <t>CUSTO TOTAL/ALUNO</t>
  </si>
  <si>
    <t>POS</t>
  </si>
  <si>
    <t>50</t>
  </si>
  <si>
    <t>31</t>
  </si>
  <si>
    <t>120</t>
  </si>
  <si>
    <t>41</t>
  </si>
  <si>
    <t>137</t>
  </si>
  <si>
    <t>124</t>
  </si>
  <si>
    <t>97</t>
  </si>
  <si>
    <t>6</t>
  </si>
  <si>
    <t>4</t>
  </si>
  <si>
    <t>7</t>
  </si>
  <si>
    <t>FOLHA COORDENAÇÃO</t>
  </si>
  <si>
    <t>FOLHA PROFESSORES</t>
  </si>
  <si>
    <t>TOTAL MENSAL INSTITUIÇÃO</t>
  </si>
  <si>
    <t>BRUTO</t>
  </si>
  <si>
    <t>IMPOSTOS</t>
  </si>
  <si>
    <t>CURSO</t>
  </si>
  <si>
    <t>RECEITA</t>
  </si>
  <si>
    <t>MARG. CONTR.</t>
  </si>
  <si>
    <t>PE</t>
  </si>
  <si>
    <t>599</t>
  </si>
  <si>
    <t>INADIMPL.</t>
  </si>
  <si>
    <t>%</t>
  </si>
  <si>
    <t>EVASÃO</t>
  </si>
  <si>
    <t>INADIMPL. MÉDIA DE 14% + 1% PASEP</t>
  </si>
  <si>
    <t>INADIMPL. POR CURSO + 1% PASEP</t>
  </si>
  <si>
    <t>EVASÃO POR CURSO + 1% PASEP</t>
  </si>
  <si>
    <t>EVASÃO POR CURSO + INADIMPL. MÉDIA 14% + 1% PASEP</t>
  </si>
  <si>
    <t>EVASÃO POR CURSO + INADIMPL. POR CURSO + 1% PASEP</t>
  </si>
  <si>
    <t>PREJUIZO/MÊS</t>
  </si>
  <si>
    <t>582</t>
  </si>
  <si>
    <t>* Para metrica atual do calculo foi considerada uma redução de folha de pagamento no total de R$10.000,00, visando a redução de carga horaria para 2020 para a turma de 5º ano.</t>
  </si>
  <si>
    <t>* Para metrica atual do calculo foi considerada uma redução de evasão, considerando os 3 primeiros anos (atuais) onde houveram mais entradas do que saídas de alunos.</t>
  </si>
  <si>
    <t>EVASÃO POR CURSO + 1% PASEP             -               2020</t>
  </si>
  <si>
    <t>**</t>
  </si>
  <si>
    <t>Engenharia Agronômica **</t>
  </si>
  <si>
    <t>Agronomia</t>
  </si>
  <si>
    <t>Arquitetura</t>
  </si>
  <si>
    <t>* Para metrica atual do calculo foi considerada uma redução de folha de pagamento no total de R$3.218,76, visando a redução de carga horaria para 2020 para a turma de 5º ano.</t>
  </si>
  <si>
    <t>* Para metrica atual do calculo foi considerada uma redução de folha de pagamento no total de R$4.000,00, visando a redução de carga horaria para 2020 para a turma de 5º ano.</t>
  </si>
  <si>
    <t>MENSAL</t>
  </si>
  <si>
    <t>Direito - Noturno</t>
  </si>
  <si>
    <t>PASEP</t>
  </si>
  <si>
    <t>13º SALARIO</t>
  </si>
  <si>
    <t>Folha</t>
  </si>
  <si>
    <t>INADIMPL. MÉDIA DE 10% + 1% PASEP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</si>
</sst>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474C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theme="1" tint="0.1499984740745262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10" borderId="1" applyFont="0" applyFill="0" applyAlignment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0" fillId="0" borderId="10" xfId="0" applyBorder="1"/>
    <xf numFmtId="0" fontId="0" fillId="2" borderId="5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9" borderId="5" xfId="0" applyFill="1" applyBorder="1" applyAlignment="1">
      <alignment horizontal="right"/>
    </xf>
    <xf numFmtId="0" fontId="0" fillId="13" borderId="5" xfId="0" applyFill="1" applyBorder="1" applyAlignment="1">
      <alignment horizontal="right"/>
    </xf>
    <xf numFmtId="0" fontId="0" fillId="17" borderId="5" xfId="0" applyFill="1" applyBorder="1"/>
    <xf numFmtId="0" fontId="6" fillId="12" borderId="5" xfId="0" applyFont="1" applyFill="1" applyBorder="1" applyAlignment="1">
      <alignment horizontal="right"/>
    </xf>
    <xf numFmtId="0" fontId="0" fillId="0" borderId="4" xfId="0" applyBorder="1"/>
    <xf numFmtId="0" fontId="0" fillId="0" borderId="11" xfId="0" applyBorder="1"/>
    <xf numFmtId="0" fontId="1" fillId="2" borderId="12" xfId="0" applyFont="1" applyFill="1" applyBorder="1" applyAlignment="1">
      <alignment horizontal="right"/>
    </xf>
    <xf numFmtId="0" fontId="1" fillId="5" borderId="12" xfId="0" applyFont="1" applyFill="1" applyBorder="1"/>
    <xf numFmtId="0" fontId="1" fillId="6" borderId="12" xfId="0" applyFont="1" applyFill="1" applyBorder="1"/>
    <xf numFmtId="0" fontId="1" fillId="7" borderId="12" xfId="0" applyFont="1" applyFill="1" applyBorder="1"/>
    <xf numFmtId="0" fontId="1" fillId="3" borderId="12" xfId="0" applyFont="1" applyFill="1" applyBorder="1" applyAlignment="1">
      <alignment horizontal="right"/>
    </xf>
    <xf numFmtId="0" fontId="1" fillId="9" borderId="12" xfId="0" applyFont="1" applyFill="1" applyBorder="1"/>
    <xf numFmtId="0" fontId="1" fillId="13" borderId="12" xfId="0" applyFont="1" applyFill="1" applyBorder="1"/>
    <xf numFmtId="0" fontId="0" fillId="17" borderId="12" xfId="0" applyFill="1" applyBorder="1"/>
    <xf numFmtId="0" fontId="7" fillId="12" borderId="12" xfId="0" applyFont="1" applyFill="1" applyBorder="1"/>
    <xf numFmtId="0" fontId="0" fillId="0" borderId="12" xfId="0" applyBorder="1"/>
    <xf numFmtId="0" fontId="0" fillId="3" borderId="7" xfId="0" applyFill="1" applyBorder="1" applyAlignment="1">
      <alignment horizontal="right"/>
    </xf>
    <xf numFmtId="0" fontId="0" fillId="17" borderId="7" xfId="0" applyFill="1" applyBorder="1"/>
    <xf numFmtId="0" fontId="0" fillId="10" borderId="7" xfId="0" applyFill="1" applyBorder="1"/>
    <xf numFmtId="0" fontId="0" fillId="4" borderId="7" xfId="0" applyFill="1" applyBorder="1" applyAlignment="1">
      <alignment horizontal="right"/>
    </xf>
    <xf numFmtId="0" fontId="6" fillId="12" borderId="7" xfId="0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0" fillId="13" borderId="7" xfId="0" applyFill="1" applyBorder="1" applyAlignment="1">
      <alignment horizontal="right"/>
    </xf>
    <xf numFmtId="0" fontId="0" fillId="14" borderId="7" xfId="0" applyFill="1" applyBorder="1" applyAlignment="1">
      <alignment horizontal="right"/>
    </xf>
    <xf numFmtId="0" fontId="0" fillId="6" borderId="7" xfId="0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0" fontId="0" fillId="11" borderId="7" xfId="0" applyFill="1" applyBorder="1" applyAlignment="1">
      <alignment horizontal="right"/>
    </xf>
    <xf numFmtId="0" fontId="0" fillId="0" borderId="13" xfId="0" applyBorder="1"/>
    <xf numFmtId="0" fontId="1" fillId="16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0" fillId="10" borderId="12" xfId="0" applyFill="1" applyBorder="1"/>
    <xf numFmtId="0" fontId="1" fillId="4" borderId="12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right"/>
    </xf>
    <xf numFmtId="0" fontId="1" fillId="14" borderId="12" xfId="0" applyFont="1" applyFill="1" applyBorder="1"/>
    <xf numFmtId="0" fontId="1" fillId="11" borderId="12" xfId="0" applyFont="1" applyFill="1" applyBorder="1" applyAlignment="1">
      <alignment horizontal="right"/>
    </xf>
    <xf numFmtId="0" fontId="0" fillId="0" borderId="14" xfId="0" applyBorder="1"/>
    <xf numFmtId="0" fontId="2" fillId="17" borderId="15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2" fillId="17" borderId="0" xfId="0" applyFont="1" applyFill="1" applyAlignment="1">
      <alignment horizontal="center"/>
    </xf>
    <xf numFmtId="0" fontId="2" fillId="17" borderId="0" xfId="0" applyFont="1" applyFill="1"/>
    <xf numFmtId="0" fontId="1" fillId="10" borderId="17" xfId="0" applyFont="1" applyFill="1" applyBorder="1"/>
    <xf numFmtId="0" fontId="1" fillId="17" borderId="16" xfId="0" applyFont="1" applyFill="1" applyBorder="1" applyAlignment="1">
      <alignment horizontal="center"/>
    </xf>
    <xf numFmtId="0" fontId="0" fillId="2" borderId="18" xfId="0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0" fillId="11" borderId="19" xfId="0" applyFill="1" applyBorder="1" applyAlignment="1">
      <alignment horizontal="right"/>
    </xf>
    <xf numFmtId="0" fontId="1" fillId="11" borderId="9" xfId="0" applyFont="1" applyFill="1" applyBorder="1" applyAlignment="1">
      <alignment horizontal="right"/>
    </xf>
    <xf numFmtId="0" fontId="0" fillId="10" borderId="19" xfId="0" applyFill="1" applyBorder="1"/>
    <xf numFmtId="0" fontId="0" fillId="10" borderId="9" xfId="0" applyFill="1" applyBorder="1"/>
    <xf numFmtId="0" fontId="1" fillId="16" borderId="20" xfId="0" applyFont="1" applyFill="1" applyBorder="1" applyAlignment="1">
      <alignment horizontal="center"/>
    </xf>
    <xf numFmtId="0" fontId="0" fillId="5" borderId="21" xfId="0" applyFill="1" applyBorder="1" applyAlignment="1">
      <alignment horizontal="right"/>
    </xf>
    <xf numFmtId="0" fontId="1" fillId="5" borderId="24" xfId="0" applyFont="1" applyFill="1" applyBorder="1"/>
    <xf numFmtId="0" fontId="0" fillId="17" borderId="22" xfId="0" applyFill="1" applyBorder="1"/>
    <xf numFmtId="0" fontId="0" fillId="17" borderId="24" xfId="0" applyFill="1" applyBorder="1"/>
    <xf numFmtId="0" fontId="1" fillId="15" borderId="23" xfId="0" applyFont="1" applyFill="1" applyBorder="1" applyAlignment="1">
      <alignment horizontal="center"/>
    </xf>
    <xf numFmtId="0" fontId="0" fillId="0" borderId="25" xfId="0" applyBorder="1"/>
    <xf numFmtId="0" fontId="0" fillId="13" borderId="26" xfId="0" applyFill="1" applyBorder="1" applyAlignment="1">
      <alignment horizontal="right"/>
    </xf>
    <xf numFmtId="0" fontId="1" fillId="13" borderId="27" xfId="0" applyFont="1" applyFill="1" applyBorder="1"/>
    <xf numFmtId="0" fontId="0" fillId="17" borderId="28" xfId="0" applyFill="1" applyBorder="1"/>
    <xf numFmtId="0" fontId="0" fillId="17" borderId="27" xfId="0" applyFill="1" applyBorder="1"/>
    <xf numFmtId="0" fontId="1" fillId="15" borderId="29" xfId="0" applyFont="1" applyFill="1" applyBorder="1" applyAlignment="1">
      <alignment horizontal="center"/>
    </xf>
    <xf numFmtId="0" fontId="0" fillId="0" borderId="8" xfId="0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44" fontId="1" fillId="0" borderId="0" xfId="2" applyFont="1"/>
    <xf numFmtId="44" fontId="0" fillId="0" borderId="0" xfId="2" applyFont="1"/>
    <xf numFmtId="44" fontId="1" fillId="0" borderId="0" xfId="2" applyFont="1" applyAlignment="1">
      <alignment horizontal="center"/>
    </xf>
    <xf numFmtId="0" fontId="8" fillId="0" borderId="0" xfId="0" applyFont="1" applyAlignment="1">
      <alignment vertical="center"/>
    </xf>
    <xf numFmtId="44" fontId="0" fillId="0" borderId="1" xfId="2" applyFont="1" applyBorder="1"/>
    <xf numFmtId="0" fontId="1" fillId="0" borderId="1" xfId="0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3" xfId="2" applyFont="1" applyBorder="1"/>
    <xf numFmtId="10" fontId="1" fillId="0" borderId="0" xfId="3" applyNumberFormat="1" applyFont="1"/>
    <xf numFmtId="44" fontId="0" fillId="0" borderId="0" xfId="0" applyNumberFormat="1"/>
    <xf numFmtId="44" fontId="0" fillId="0" borderId="1" xfId="0" applyNumberFormat="1" applyBorder="1"/>
    <xf numFmtId="0" fontId="1" fillId="0" borderId="0" xfId="0" applyFont="1"/>
    <xf numFmtId="44" fontId="1" fillId="0" borderId="1" xfId="0" applyNumberFormat="1" applyFont="1" applyBorder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1" xfId="0" applyFont="1" applyBorder="1"/>
    <xf numFmtId="44" fontId="1" fillId="0" borderId="0" xfId="0" applyNumberFormat="1" applyFont="1"/>
    <xf numFmtId="49" fontId="1" fillId="0" borderId="0" xfId="2" applyNumberFormat="1" applyFont="1" applyAlignment="1">
      <alignment horizontal="center"/>
    </xf>
    <xf numFmtId="44" fontId="1" fillId="0" borderId="1" xfId="2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0" xfId="0" applyBorder="1"/>
    <xf numFmtId="44" fontId="0" fillId="0" borderId="30" xfId="2" applyFont="1" applyBorder="1"/>
    <xf numFmtId="44" fontId="0" fillId="0" borderId="0" xfId="2" applyFont="1" applyBorder="1"/>
    <xf numFmtId="44" fontId="0" fillId="0" borderId="13" xfId="2" applyFont="1" applyBorder="1"/>
    <xf numFmtId="49" fontId="1" fillId="0" borderId="7" xfId="2" applyNumberFormat="1" applyFont="1" applyBorder="1" applyAlignment="1">
      <alignment horizontal="center"/>
    </xf>
    <xf numFmtId="44" fontId="1" fillId="0" borderId="7" xfId="2" applyFont="1" applyBorder="1"/>
    <xf numFmtId="44" fontId="1" fillId="18" borderId="7" xfId="2" applyFont="1" applyFill="1" applyBorder="1"/>
    <xf numFmtId="44" fontId="1" fillId="18" borderId="1" xfId="0" applyNumberFormat="1" applyFont="1" applyFill="1" applyBorder="1"/>
    <xf numFmtId="0" fontId="1" fillId="18" borderId="1" xfId="0" applyFont="1" applyFill="1" applyBorder="1" applyAlignment="1">
      <alignment horizontal="center"/>
    </xf>
    <xf numFmtId="0" fontId="9" fillId="18" borderId="1" xfId="0" applyFont="1" applyFill="1" applyBorder="1" applyAlignment="1">
      <alignment vertical="center"/>
    </xf>
    <xf numFmtId="0" fontId="10" fillId="0" borderId="0" xfId="0" applyFont="1"/>
    <xf numFmtId="44" fontId="10" fillId="0" borderId="0" xfId="2" applyFont="1"/>
    <xf numFmtId="0" fontId="11" fillId="0" borderId="0" xfId="0" applyFont="1"/>
    <xf numFmtId="44" fontId="10" fillId="0" borderId="0" xfId="2" applyFont="1" applyBorder="1"/>
    <xf numFmtId="9" fontId="10" fillId="0" borderId="0" xfId="0" applyNumberFormat="1" applyFont="1"/>
    <xf numFmtId="44" fontId="10" fillId="0" borderId="0" xfId="0" applyNumberFormat="1" applyFont="1"/>
    <xf numFmtId="44" fontId="11" fillId="0" borderId="0" xfId="2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4" fillId="0" borderId="1" xfId="2" applyFont="1" applyBorder="1"/>
    <xf numFmtId="44" fontId="1" fillId="18" borderId="1" xfId="2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/>
    </xf>
    <xf numFmtId="1" fontId="11" fillId="18" borderId="1" xfId="0" applyNumberFormat="1" applyFont="1" applyFill="1" applyBorder="1" applyAlignment="1">
      <alignment horizontal="center"/>
    </xf>
    <xf numFmtId="1" fontId="11" fillId="18" borderId="0" xfId="0" applyNumberFormat="1" applyFont="1" applyFill="1" applyAlignment="1">
      <alignment horizontal="center"/>
    </xf>
    <xf numFmtId="164" fontId="0" fillId="0" borderId="1" xfId="4" applyNumberFormat="1" applyFont="1" applyBorder="1" applyAlignment="1"/>
    <xf numFmtId="164" fontId="1" fillId="0" borderId="0" xfId="4" applyNumberFormat="1" applyFont="1" applyAlignment="1"/>
    <xf numFmtId="43" fontId="10" fillId="0" borderId="0" xfId="4" applyFont="1" applyBorder="1"/>
    <xf numFmtId="1" fontId="0" fillId="0" borderId="1" xfId="2" applyNumberFormat="1" applyFont="1" applyBorder="1" applyAlignment="1">
      <alignment horizontal="center"/>
    </xf>
    <xf numFmtId="9" fontId="1" fillId="0" borderId="1" xfId="3" applyFont="1" applyBorder="1"/>
    <xf numFmtId="9" fontId="0" fillId="0" borderId="1" xfId="3" applyFont="1" applyBorder="1" applyAlignment="1">
      <alignment horizontal="center"/>
    </xf>
    <xf numFmtId="44" fontId="10" fillId="0" borderId="0" xfId="2" applyFont="1" applyAlignment="1">
      <alignment horizontal="center"/>
    </xf>
    <xf numFmtId="2" fontId="10" fillId="0" borderId="0" xfId="2" applyNumberFormat="1" applyFont="1" applyBorder="1"/>
    <xf numFmtId="44" fontId="1" fillId="0" borderId="1" xfId="2" applyFont="1" applyBorder="1"/>
    <xf numFmtId="44" fontId="1" fillId="18" borderId="1" xfId="0" applyNumberFormat="1" applyFont="1" applyFill="1" applyBorder="1" applyAlignment="1">
      <alignment horizontal="center"/>
    </xf>
    <xf numFmtId="44" fontId="1" fillId="19" borderId="0" xfId="2" applyFont="1" applyFill="1"/>
    <xf numFmtId="165" fontId="1" fillId="0" borderId="1" xfId="3" applyNumberFormat="1" applyFont="1" applyBorder="1"/>
    <xf numFmtId="165" fontId="0" fillId="0" borderId="0" xfId="3" applyNumberFormat="1" applyFont="1"/>
    <xf numFmtId="0" fontId="9" fillId="0" borderId="1" xfId="0" applyFont="1" applyBorder="1" applyAlignment="1">
      <alignment vertical="center"/>
    </xf>
    <xf numFmtId="9" fontId="0" fillId="0" borderId="1" xfId="3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vertical="center"/>
    </xf>
    <xf numFmtId="44" fontId="0" fillId="0" borderId="1" xfId="2" applyFont="1" applyFill="1" applyBorder="1"/>
    <xf numFmtId="1" fontId="1" fillId="0" borderId="1" xfId="0" applyNumberFormat="1" applyFont="1" applyBorder="1" applyAlignment="1">
      <alignment horizontal="center"/>
    </xf>
    <xf numFmtId="0" fontId="12" fillId="18" borderId="1" xfId="0" applyFont="1" applyFill="1" applyBorder="1" applyAlignment="1">
      <alignment vertical="center"/>
    </xf>
    <xf numFmtId="1" fontId="1" fillId="18" borderId="1" xfId="0" applyNumberFormat="1" applyFont="1" applyFill="1" applyBorder="1" applyAlignment="1">
      <alignment horizontal="center"/>
    </xf>
    <xf numFmtId="9" fontId="0" fillId="18" borderId="1" xfId="3" applyFont="1" applyFill="1" applyBorder="1" applyAlignment="1">
      <alignment horizontal="center"/>
    </xf>
    <xf numFmtId="44" fontId="0" fillId="18" borderId="1" xfId="2" applyFont="1" applyFill="1" applyBorder="1"/>
    <xf numFmtId="44" fontId="4" fillId="18" borderId="1" xfId="2" applyFont="1" applyFill="1" applyBorder="1"/>
    <xf numFmtId="0" fontId="0" fillId="0" borderId="15" xfId="0" applyBorder="1"/>
    <xf numFmtId="0" fontId="12" fillId="20" borderId="1" xfId="0" applyFont="1" applyFill="1" applyBorder="1" applyAlignment="1">
      <alignment vertical="center"/>
    </xf>
    <xf numFmtId="9" fontId="0" fillId="20" borderId="1" xfId="3" applyFont="1" applyFill="1" applyBorder="1" applyAlignment="1">
      <alignment horizontal="center"/>
    </xf>
    <xf numFmtId="44" fontId="0" fillId="20" borderId="1" xfId="2" applyFont="1" applyFill="1" applyBorder="1"/>
    <xf numFmtId="1" fontId="1" fillId="20" borderId="1" xfId="0" applyNumberFormat="1" applyFont="1" applyFill="1" applyBorder="1" applyAlignment="1">
      <alignment horizontal="center"/>
    </xf>
    <xf numFmtId="44" fontId="1" fillId="20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44" fontId="13" fillId="0" borderId="0" xfId="2" applyFont="1"/>
    <xf numFmtId="44" fontId="13" fillId="0" borderId="0" xfId="2" applyFont="1" applyBorder="1"/>
    <xf numFmtId="44" fontId="13" fillId="0" borderId="0" xfId="2" applyFont="1" applyAlignment="1">
      <alignment horizontal="center"/>
    </xf>
    <xf numFmtId="44" fontId="5" fillId="0" borderId="0" xfId="2" applyFont="1" applyBorder="1"/>
    <xf numFmtId="44" fontId="13" fillId="0" borderId="0" xfId="0" applyNumberFormat="1" applyFont="1"/>
    <xf numFmtId="43" fontId="10" fillId="0" borderId="0" xfId="4" applyFont="1" applyBorder="1" applyAlignment="1">
      <alignment wrapText="1"/>
    </xf>
    <xf numFmtId="10" fontId="0" fillId="0" borderId="1" xfId="3" applyNumberFormat="1" applyFont="1" applyBorder="1"/>
    <xf numFmtId="0" fontId="0" fillId="20" borderId="0" xfId="0" applyFill="1"/>
    <xf numFmtId="44" fontId="5" fillId="20" borderId="0" xfId="2" applyFont="1" applyFill="1" applyAlignment="1">
      <alignment horizontal="center"/>
    </xf>
    <xf numFmtId="12" fontId="1" fillId="20" borderId="0" xfId="2" applyNumberFormat="1" applyFont="1" applyFill="1" applyAlignment="1">
      <alignment horizontal="center"/>
    </xf>
    <xf numFmtId="0" fontId="0" fillId="20" borderId="30" xfId="0" applyFill="1" applyBorder="1"/>
    <xf numFmtId="44" fontId="13" fillId="20" borderId="30" xfId="2" applyFont="1" applyFill="1" applyBorder="1"/>
    <xf numFmtId="44" fontId="0" fillId="20" borderId="30" xfId="2" applyFont="1" applyFill="1" applyBorder="1"/>
    <xf numFmtId="44" fontId="0" fillId="20" borderId="0" xfId="2" applyFont="1" applyFill="1" applyBorder="1"/>
    <xf numFmtId="0" fontId="0" fillId="20" borderId="13" xfId="0" applyFill="1" applyBorder="1"/>
    <xf numFmtId="44" fontId="0" fillId="20" borderId="13" xfId="2" applyFont="1" applyFill="1" applyBorder="1"/>
    <xf numFmtId="44" fontId="1" fillId="20" borderId="0" xfId="2" applyFont="1" applyFill="1"/>
    <xf numFmtId="0" fontId="0" fillId="20" borderId="7" xfId="0" applyFill="1" applyBorder="1"/>
    <xf numFmtId="1" fontId="1" fillId="20" borderId="7" xfId="2" applyNumberFormat="1" applyFont="1" applyFill="1" applyBorder="1" applyAlignment="1">
      <alignment horizontal="center"/>
    </xf>
    <xf numFmtId="44" fontId="1" fillId="20" borderId="7" xfId="2" applyFont="1" applyFill="1" applyBorder="1"/>
    <xf numFmtId="44" fontId="0" fillId="20" borderId="0" xfId="2" applyFont="1" applyFill="1"/>
    <xf numFmtId="0" fontId="9" fillId="20" borderId="0" xfId="0" applyFont="1" applyFill="1" applyAlignment="1">
      <alignment vertical="center"/>
    </xf>
    <xf numFmtId="164" fontId="1" fillId="20" borderId="0" xfId="4" applyNumberFormat="1" applyFont="1" applyFill="1" applyAlignment="1"/>
    <xf numFmtId="44" fontId="10" fillId="20" borderId="0" xfId="2" applyFont="1" applyFill="1"/>
    <xf numFmtId="0" fontId="10" fillId="20" borderId="0" xfId="0" applyFont="1" applyFill="1"/>
    <xf numFmtId="44" fontId="11" fillId="20" borderId="0" xfId="2" applyFont="1" applyFill="1" applyBorder="1"/>
    <xf numFmtId="0" fontId="10" fillId="20" borderId="0" xfId="0" applyFont="1" applyFill="1" applyAlignment="1">
      <alignment horizontal="center"/>
    </xf>
    <xf numFmtId="0" fontId="11" fillId="20" borderId="0" xfId="0" applyFont="1" applyFill="1" applyAlignment="1">
      <alignment horizontal="center"/>
    </xf>
    <xf numFmtId="0" fontId="11" fillId="20" borderId="0" xfId="0" applyFont="1" applyFill="1"/>
    <xf numFmtId="43" fontId="10" fillId="20" borderId="0" xfId="4" applyFont="1" applyFill="1" applyBorder="1"/>
    <xf numFmtId="44" fontId="10" fillId="20" borderId="0" xfId="2" applyFont="1" applyFill="1" applyBorder="1"/>
    <xf numFmtId="44" fontId="10" fillId="20" borderId="0" xfId="0" applyNumberFormat="1" applyFont="1" applyFill="1"/>
    <xf numFmtId="0" fontId="10" fillId="0" borderId="0" xfId="0" applyFont="1" applyFill="1"/>
    <xf numFmtId="44" fontId="10" fillId="0" borderId="0" xfId="2" applyFont="1" applyFill="1"/>
    <xf numFmtId="44" fontId="10" fillId="0" borderId="0" xfId="2" applyFont="1" applyFill="1" applyBorder="1"/>
    <xf numFmtId="43" fontId="10" fillId="0" borderId="0" xfId="4" applyFont="1" applyFill="1" applyBorder="1"/>
    <xf numFmtId="9" fontId="10" fillId="0" borderId="0" xfId="2" applyNumberFormat="1" applyFont="1" applyFill="1" applyBorder="1"/>
    <xf numFmtId="9" fontId="10" fillId="0" borderId="0" xfId="3" applyFont="1" applyFill="1" applyBorder="1"/>
    <xf numFmtId="44" fontId="11" fillId="0" borderId="0" xfId="2" applyFont="1" applyFill="1" applyBorder="1"/>
    <xf numFmtId="44" fontId="0" fillId="0" borderId="0" xfId="2" applyFont="1" applyFill="1"/>
    <xf numFmtId="0" fontId="0" fillId="0" borderId="0" xfId="0" applyFill="1"/>
    <xf numFmtId="0" fontId="11" fillId="0" borderId="0" xfId="0" applyFont="1" applyFill="1"/>
    <xf numFmtId="10" fontId="10" fillId="0" borderId="0" xfId="3" applyNumberFormat="1" applyFont="1" applyFill="1"/>
    <xf numFmtId="10" fontId="1" fillId="0" borderId="0" xfId="0" applyNumberFormat="1" applyFont="1" applyFill="1"/>
    <xf numFmtId="10" fontId="1" fillId="20" borderId="0" xfId="2" applyNumberFormat="1" applyFont="1" applyFill="1"/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" xfId="0" applyBorder="1"/>
    <xf numFmtId="0" fontId="0" fillId="10" borderId="1" xfId="0" applyFill="1" applyBorder="1"/>
    <xf numFmtId="0" fontId="0" fillId="0" borderId="8" xfId="0" applyBorder="1"/>
    <xf numFmtId="0" fontId="1" fillId="17" borderId="15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16" xfId="0" applyFont="1" applyFill="1" applyBorder="1" applyAlignment="1">
      <alignment horizontal="center"/>
    </xf>
    <xf numFmtId="0" fontId="0" fillId="10" borderId="10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12" borderId="5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2" borderId="6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14" borderId="5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4" borderId="6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1" fillId="0" borderId="0" xfId="2" applyFont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13" xfId="2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5">
    <cellStyle name="Estilo 1" xfId="1" xr:uid="{00000000-0005-0000-0000-000000000000}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colors>
    <mruColors>
      <color rgb="FFE474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troladoria" id="{2A13E578-DDCD-45CD-8ABD-54EB18646542}" userId="S-1-5-21-3480633273-282525139-2052493556-120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19-08-08T18:51:32.29" personId="{2A13E578-DDCD-45CD-8ABD-54EB18646542}" id="{F18AE8A9-32F5-4D5B-A13F-ED6735190E22}">
    <text>RECEITA - CUSTOS E DESPESAS VARIAVEIS (IMPOSTOS) DIVIDIDO PELA QUANTIDADE DE ALUNOS</text>
  </threadedComment>
  <threadedComment ref="C16" dT="2019-08-08T18:51:32.29" personId="{2A13E578-DDCD-45CD-8ABD-54EB18646542}" id="{6D85256D-8BE0-4AF3-BF9A-B8B1C7E27FB8}">
    <text>RECEITA - CUSTOS E DESPESAS VARIAVEIS (IMPOSTOS) DIVIDIDO PELA QUANTIDADE DE ALUNOS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EC46A3AD-94FE-4EB9-9BEA-F4C6E65097F6}">
    <text>RECEITA - CUSTOS E DESPESAS VARIAVEIS (IMPOSTOS) DIVIDIDO PELA QUANTIDADE DE ALUNOS</text>
  </threadedComment>
  <threadedComment ref="D26" dT="2019-08-08T18:51:32.29" personId="{2A13E578-DDCD-45CD-8ABD-54EB18646542}" id="{289BF9E4-C7F2-4D52-9148-A7250CF619F5}">
    <text>RECEITA - CUSTOS E DESPESAS VARIAVEIS (IMPOSTOS) DIVIDIDO PELA QUANTIDADE DE ALUNOS</text>
  </threadedComment>
  <threadedComment ref="D37" dT="2019-08-08T18:51:32.29" personId="{2A13E578-DDCD-45CD-8ABD-54EB18646542}" id="{0EC4AF8C-5855-46DF-9B72-D0D238B93959}">
    <text>RECEITA - CUSTOS E DESPESAS VARIAVEIS (IMPOSTOS) DIVIDIDO PELA QUANTIDADE DE ALUNOS</text>
  </threadedComment>
  <threadedComment ref="D49" dT="2019-08-08T18:51:32.29" personId="{2A13E578-DDCD-45CD-8ABD-54EB18646542}" id="{418F7BFC-92B0-4000-987D-B1824B3475DC}">
    <text>RECEITA - CUSTOS E DESPESAS VARIAVEIS (IMPOSTOS) DIVIDIDO PELA QUANTIDADE DE ALUNOS</text>
  </threadedComment>
  <threadedComment ref="D63" dT="2019-08-08T18:51:32.29" personId="{2A13E578-DDCD-45CD-8ABD-54EB18646542}" id="{F460774A-5692-449F-A314-1F8BC43476F3}">
    <text>RECEITA - CUSTOS E DESPESAS VARIAVEIS (IMPOSTOS) DIVIDIDO PELA QUANTIDADE DE ALUNOS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B610DFAC-A0AB-4FC0-9676-25C2FA7D97E3}">
    <text>RECEITA - CUSTOS E DESPESAS VARIAVEIS (IMPOSTOS) DIVIDIDO PELA QUANTIDADE DE ALUNOS</text>
  </threadedComment>
  <threadedComment ref="D29" dT="2019-08-08T18:51:32.29" personId="{2A13E578-DDCD-45CD-8ABD-54EB18646542}" id="{915A291C-2544-44F7-88A4-B61BD5415FFC}">
    <text>RECEITA - CUSTOS E DESPESAS VARIAVEIS (IMPOSTOS) DIVIDIDO PELA QUANTIDADE DE ALUNOS</text>
  </threadedComment>
  <threadedComment ref="D42" dT="2019-08-08T18:51:32.29" personId="{2A13E578-DDCD-45CD-8ABD-54EB18646542}" id="{119B92BF-56FB-49F1-8A47-AB0EA7442639}">
    <text>RECEITA - CUSTOS E DESPESAS VARIAVEIS (IMPOSTOS) DIVIDIDO PELA QUANTIDADE DE ALUNOS</text>
  </threadedComment>
  <threadedComment ref="D56" dT="2019-08-08T18:51:32.29" personId="{2A13E578-DDCD-45CD-8ABD-54EB18646542}" id="{A3FBE969-371A-4224-BF26-4B1AC442B4CF}">
    <text>RECEITA - CUSTOS E DESPESAS VARIAVEIS (IMPOSTOS) DIVIDIDO PELA QUANTIDADE DE ALUNOS</text>
  </threadedComment>
  <threadedComment ref="D70" dT="2019-08-08T18:51:32.29" personId="{2A13E578-DDCD-45CD-8ABD-54EB18646542}" id="{A71FC739-B6B0-4E04-AD27-10B1425F09FF}">
    <text>RECEITA - CUSTOS E DESPESAS VARIAVEIS (IMPOSTOS) DIVIDIDO PELA QUANTIDADE DE ALUNOS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FD1E9CAF-208F-4170-8C79-68507A138781}">
    <text>RECEITA - CUSTOS E DESPESAS VARIAVEIS (IMPOSTOS) DIVIDIDO PELA QUANTIDADE DE ALUNOS</text>
  </threadedComment>
  <threadedComment ref="D26" dT="2019-08-08T18:51:32.29" personId="{2A13E578-DDCD-45CD-8ABD-54EB18646542}" id="{AE5FA71F-279F-4719-9B2B-8B97E64801E2}">
    <text>RECEITA - CUSTOS E DESPESAS VARIAVEIS (IMPOSTOS) DIVIDIDO PELA QUANTIDADE DE ALUNOS</text>
  </threadedComment>
  <threadedComment ref="D37" dT="2019-08-08T18:51:32.29" personId="{2A13E578-DDCD-45CD-8ABD-54EB18646542}" id="{BEF4C4D5-AF4A-4C94-91C3-6F93E4F4D225}">
    <text>RECEITA - CUSTOS E DESPESAS VARIAVEIS (IMPOSTOS) DIVIDIDO PELA QUANTIDADE DE ALUNOS</text>
  </threadedComment>
  <threadedComment ref="D49" dT="2019-08-08T18:51:32.29" personId="{2A13E578-DDCD-45CD-8ABD-54EB18646542}" id="{BA110744-71F6-4806-BCE8-0DABAC8763B0}">
    <text>RECEITA - CUSTOS E DESPESAS VARIAVEIS (IMPOSTOS) DIVIDIDO PELA QUANTIDADE DE ALUNOS</text>
  </threadedComment>
  <threadedComment ref="D61" dT="2019-08-08T18:51:32.29" personId="{2A13E578-DDCD-45CD-8ABD-54EB18646542}" id="{B51DC232-1E91-4B38-B5FA-CDF00A1928D9}">
    <text>RECEITA - CUSTOS E DESPESAS VARIAVEIS (IMPOSTOS) DIVIDIDO PELA QUANTIDADE DE ALUNOS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D810F123-9A81-4C45-AD6D-B76F7127D456}">
    <text>RECEITA - CUSTOS E DESPESAS VARIAVEIS (IMPOSTOS) DIVIDIDO PELA QUANTIDADE DE ALUNOS</text>
  </threadedComment>
  <threadedComment ref="D26" dT="2019-08-08T18:51:32.29" personId="{2A13E578-DDCD-45CD-8ABD-54EB18646542}" id="{9B4D8274-2FB5-4F61-AEA8-AE26A3656F4F}">
    <text>RECEITA - CUSTOS E DESPESAS VARIAVEIS (IMPOSTOS) DIVIDIDO PELA QUANTIDADE DE ALUNOS</text>
  </threadedComment>
  <threadedComment ref="D37" dT="2019-08-08T18:51:32.29" personId="{2A13E578-DDCD-45CD-8ABD-54EB18646542}" id="{DB1E34B7-800B-4923-9049-F83033B77C0D}">
    <text>RECEITA - CUSTOS E DESPESAS VARIAVEIS (IMPOSTOS) DIVIDIDO PELA QUANTIDADE DE ALUNOS</text>
  </threadedComment>
  <threadedComment ref="D49" dT="2019-08-08T18:51:32.29" personId="{2A13E578-DDCD-45CD-8ABD-54EB18646542}" id="{33DAF52B-B855-44D8-B8F4-4E5114433D11}">
    <text>RECEITA - CUSTOS E DESPESAS VARIAVEIS (IMPOSTOS) DIVIDIDO PELA QUANTIDADE DE ALUNOS</text>
  </threadedComment>
  <threadedComment ref="D61" dT="2019-08-08T18:51:32.29" personId="{2A13E578-DDCD-45CD-8ABD-54EB18646542}" id="{76381E5C-ADF3-4120-9D05-1DD355F4DDAD}">
    <text>RECEITA - CUSTOS E DESPESAS VARIAVEIS (IMPOSTOS) DIVIDIDO PELA QUANTIDADE DE ALUNOS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6858A3B1-135A-42AE-8992-B740E06E0A73}">
    <text>RECEITA - CUSTOS E DESPESAS VARIAVEIS (IMPOSTOS) DIVIDIDO PELA QUANTIDADE DE ALUNOS</text>
  </threadedComment>
  <threadedComment ref="D29" dT="2019-08-08T18:51:32.29" personId="{2A13E578-DDCD-45CD-8ABD-54EB18646542}" id="{36FFB565-798A-4E96-95D3-BF08A9B74AA9}">
    <text>RECEITA - CUSTOS E DESPESAS VARIAVEIS (IMPOSTOS) DIVIDIDO PELA QUANTIDADE DE ALUNOS</text>
  </threadedComment>
  <threadedComment ref="D42" dT="2019-08-08T18:51:32.29" personId="{2A13E578-DDCD-45CD-8ABD-54EB18646542}" id="{7AD8B038-F51E-4D92-B3E0-B6C9FC96D3E1}">
    <text>RECEITA - CUSTOS E DESPESAS VARIAVEIS (IMPOSTOS) DIVIDIDO PELA QUANTIDADE DE ALUNOS</text>
  </threadedComment>
  <threadedComment ref="D56" dT="2019-08-08T18:51:32.29" personId="{2A13E578-DDCD-45CD-8ABD-54EB18646542}" id="{C91D21D0-9F33-4B74-AB84-F7F6C45AA601}">
    <text>RECEITA - CUSTOS E DESPESAS VARIAVEIS (IMPOSTOS) DIVIDIDO PELA QUANTIDADE DE ALUNOS</text>
  </threadedComment>
  <threadedComment ref="D70" dT="2019-08-08T18:51:32.29" personId="{2A13E578-DDCD-45CD-8ABD-54EB18646542}" id="{C1F5139B-728F-4EDD-B4BD-2F0FF89F1694}">
    <text>RECEITA - CUSTOS E DESPESAS VARIAVEIS (IMPOSTOS) DIVIDIDO PELA QUANTIDADE DE ALUNOS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AC184578-35E1-45F5-B984-C3D4273B46DF}">
    <text>RECEITA - CUSTOS E DESPESAS VARIAVEIS (IMPOSTOS) DIVIDIDO PELA QUANTIDADE DE ALUNOS</text>
  </threadedComment>
  <threadedComment ref="D29" dT="2019-08-08T18:51:32.29" personId="{2A13E578-DDCD-45CD-8ABD-54EB18646542}" id="{3F4DCB41-7F50-4682-B200-59B5B2C6C214}">
    <text>RECEITA - CUSTOS E DESPESAS VARIAVEIS (IMPOSTOS) DIVIDIDO PELA QUANTIDADE DE ALUNOS</text>
  </threadedComment>
  <threadedComment ref="D42" dT="2019-08-08T18:51:32.29" personId="{2A13E578-DDCD-45CD-8ABD-54EB18646542}" id="{B7C483BA-D04E-4945-89ED-B701FBF4E2B1}">
    <text>RECEITA - CUSTOS E DESPESAS VARIAVEIS (IMPOSTOS) DIVIDIDO PELA QUANTIDADE DE ALUNOS</text>
  </threadedComment>
  <threadedComment ref="D56" dT="2019-08-08T18:51:32.29" personId="{2A13E578-DDCD-45CD-8ABD-54EB18646542}" id="{18ADEA43-FA83-4021-A47A-3DE2F4A7EDD1}">
    <text>RECEITA - CUSTOS E DESPESAS VARIAVEIS (IMPOSTOS) DIVIDIDO PELA QUANTIDADE DE ALUNOS</text>
  </threadedComment>
  <threadedComment ref="D70" dT="2019-08-08T18:51:32.29" personId="{2A13E578-DDCD-45CD-8ABD-54EB18646542}" id="{9853A9B4-3463-470A-8546-8BC38D557D1F}">
    <text>RECEITA - CUSTOS E DESPESAS VARIAVEIS (IMPOSTOS) DIVIDIDO PELA QUANTIDADE DE ALUNOS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D15" dT="2019-08-08T18:51:32.29" personId="{2A13E578-DDCD-45CD-8ABD-54EB18646542}" id="{924964CA-28C1-4393-9DC6-7C577B8EEED6}">
    <text>RECEITA - CUSTOS E DESPESAS VARIAVEIS (IMPOSTOS) DIVIDIDO PELA QUANTIDADE DE ALUNOS</text>
  </threadedComment>
  <threadedComment ref="D29" dT="2019-08-08T18:51:32.29" personId="{2A13E578-DDCD-45CD-8ABD-54EB18646542}" id="{DFCC4E4B-52BC-4917-BFCD-F1B7C64C3F79}">
    <text>RECEITA - CUSTOS E DESPESAS VARIAVEIS (IMPOSTOS) DIVIDIDO PELA QUANTIDADE DE ALUNOS</text>
  </threadedComment>
  <threadedComment ref="D42" dT="2019-08-08T18:51:32.29" personId="{2A13E578-DDCD-45CD-8ABD-54EB18646542}" id="{DB332E16-ED67-435E-9E37-0295146F9A20}">
    <text>RECEITA - CUSTOS E DESPESAS VARIAVEIS (IMPOSTOS) DIVIDIDO PELA QUANTIDADE DE ALUNOS</text>
  </threadedComment>
  <threadedComment ref="D56" dT="2019-08-08T18:51:32.29" personId="{2A13E578-DDCD-45CD-8ABD-54EB18646542}" id="{C89D118B-7FAB-4A36-888C-8ADF4575511A}">
    <text>RECEITA - CUSTOS E DESPESAS VARIAVEIS (IMPOSTOS) DIVIDIDO PELA QUANTIDADE DE ALUNOS</text>
  </threadedComment>
  <threadedComment ref="D70" dT="2019-08-08T18:51:32.29" personId="{2A13E578-DDCD-45CD-8ABD-54EB18646542}" id="{D72C4EFC-74B7-4951-B405-80EBF5678094}">
    <text>RECEITA - CUSTOS E DESPESAS VARIAVEIS (IMPOSTOS) DIVIDIDO PELA QUANTIDADE DE ALUNOS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H19" dT="2019-06-28T12:19:39.57" personId="{2A13E578-DDCD-45CD-8ABD-54EB18646542}" id="{79BF55D1-5658-4A45-91D5-D4B07BBB61F8}">
    <text>CONSIDERAMOS QUE 90% DOS ALUNOS PAGAM COM O DESCONTO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workbookViewId="0">
      <selection activeCell="H18" sqref="H18"/>
    </sheetView>
  </sheetViews>
  <sheetFormatPr defaultRowHeight="15" x14ac:dyDescent="0.25"/>
  <cols>
    <col min="1" max="1" width="26" bestFit="1" customWidth="1"/>
    <col min="2" max="2" width="8.28515625" bestFit="1" customWidth="1"/>
    <col min="3" max="3" width="14.28515625" bestFit="1" customWidth="1"/>
    <col min="4" max="4" width="7" bestFit="1" customWidth="1"/>
    <col min="5" max="5" width="5.42578125" bestFit="1" customWidth="1"/>
    <col min="6" max="6" width="14.28515625" bestFit="1" customWidth="1"/>
    <col min="7" max="7" width="3" bestFit="1" customWidth="1"/>
  </cols>
  <sheetData>
    <row r="2" spans="1:6" x14ac:dyDescent="0.25">
      <c r="A2" s="208" t="s">
        <v>285</v>
      </c>
      <c r="B2" s="208"/>
      <c r="C2" s="208"/>
      <c r="D2" s="208"/>
      <c r="E2" s="208"/>
      <c r="F2" s="208"/>
    </row>
    <row r="3" spans="1:6" x14ac:dyDescent="0.25">
      <c r="A3" s="114" t="s">
        <v>275</v>
      </c>
      <c r="B3" s="114" t="s">
        <v>282</v>
      </c>
      <c r="C3" s="126" t="s">
        <v>277</v>
      </c>
      <c r="D3" s="127" t="s">
        <v>278</v>
      </c>
      <c r="E3" s="127" t="s">
        <v>278</v>
      </c>
      <c r="F3" s="114" t="s">
        <v>198</v>
      </c>
    </row>
    <row r="4" spans="1:6" ht="15.75" x14ac:dyDescent="0.25">
      <c r="A4" s="147" t="s">
        <v>92</v>
      </c>
      <c r="B4" s="144">
        <v>0.17</v>
      </c>
      <c r="C4" s="148">
        <v>285.75174838709671</v>
      </c>
      <c r="D4" s="149">
        <v>60.845902271496037</v>
      </c>
      <c r="E4" s="149">
        <v>60.845902271496037</v>
      </c>
      <c r="F4" s="94">
        <v>17386.822956270411</v>
      </c>
    </row>
    <row r="5" spans="1:6" ht="15.75" x14ac:dyDescent="0.25">
      <c r="A5" s="147" t="s">
        <v>93</v>
      </c>
      <c r="B5" s="144">
        <v>0.15</v>
      </c>
      <c r="C5" s="148">
        <v>391.77709565217384</v>
      </c>
      <c r="D5" s="149">
        <v>156.06079123592036</v>
      </c>
      <c r="E5" s="149">
        <v>39.015197808980091</v>
      </c>
      <c r="F5" s="94">
        <v>61141.043535589102</v>
      </c>
    </row>
    <row r="6" spans="1:6" ht="15.75" x14ac:dyDescent="0.25">
      <c r="A6" s="147" t="s">
        <v>77</v>
      </c>
      <c r="B6" s="144">
        <v>0.46</v>
      </c>
      <c r="C6" s="148">
        <v>345.32606046511637</v>
      </c>
      <c r="D6" s="149">
        <v>104.73560417081788</v>
      </c>
      <c r="E6" s="149">
        <v>20.947120834163577</v>
      </c>
      <c r="F6" s="94">
        <v>36167.933578742348</v>
      </c>
    </row>
    <row r="7" spans="1:6" ht="15.75" x14ac:dyDescent="0.25">
      <c r="A7" s="147" t="s">
        <v>78</v>
      </c>
      <c r="B7" s="144">
        <v>0.19</v>
      </c>
      <c r="C7" s="148">
        <v>356.3630769230769</v>
      </c>
      <c r="D7" s="149">
        <v>119.90984151160946</v>
      </c>
      <c r="E7" s="149">
        <v>29.977460377902364</v>
      </c>
      <c r="F7" s="94">
        <v>42731.440074435639</v>
      </c>
    </row>
    <row r="8" spans="1:6" ht="15.75" x14ac:dyDescent="0.25">
      <c r="A8" s="147" t="s">
        <v>94</v>
      </c>
      <c r="B8" s="144">
        <v>0.23</v>
      </c>
      <c r="C8" s="148">
        <v>322.91307851851843</v>
      </c>
      <c r="D8" s="149">
        <v>249.02715696446222</v>
      </c>
      <c r="E8" s="149">
        <v>49.805431392892444</v>
      </c>
      <c r="F8" s="94">
        <v>80414.125890108815</v>
      </c>
    </row>
    <row r="9" spans="1:6" ht="15.75" x14ac:dyDescent="0.25">
      <c r="A9" s="147" t="s">
        <v>95</v>
      </c>
      <c r="B9" s="144">
        <v>0.19</v>
      </c>
      <c r="C9" s="148">
        <v>443.3514098360655</v>
      </c>
      <c r="D9" s="149">
        <v>145.65558584222882</v>
      </c>
      <c r="E9" s="149">
        <v>29.131117168445762</v>
      </c>
      <c r="F9" s="94">
        <v>64576.609333650202</v>
      </c>
    </row>
    <row r="10" spans="1:6" ht="15.75" x14ac:dyDescent="0.25">
      <c r="A10" s="150" t="s">
        <v>82</v>
      </c>
      <c r="B10" s="152">
        <v>0.36</v>
      </c>
      <c r="C10" s="153">
        <v>370.00159793814441</v>
      </c>
      <c r="D10" s="151">
        <v>196.68318069264191</v>
      </c>
      <c r="E10" s="151">
        <v>39.336636138528384</v>
      </c>
      <c r="F10" s="113">
        <v>72773.091143834303</v>
      </c>
    </row>
    <row r="11" spans="1:6" ht="15.75" x14ac:dyDescent="0.25">
      <c r="A11" s="147" t="s">
        <v>96</v>
      </c>
      <c r="B11" s="144">
        <v>0.28999999999999998</v>
      </c>
      <c r="C11" s="148">
        <v>147.26425</v>
      </c>
      <c r="D11" s="149">
        <v>81.79608623328059</v>
      </c>
      <c r="E11" s="149">
        <v>20.449021558320148</v>
      </c>
      <c r="F11" s="94">
        <v>12045.639292079391</v>
      </c>
    </row>
    <row r="12" spans="1:6" ht="15.75" x14ac:dyDescent="0.25">
      <c r="A12" s="147" t="s">
        <v>97</v>
      </c>
      <c r="B12" s="144">
        <v>0.6</v>
      </c>
      <c r="C12" s="148">
        <v>127.30101428571432</v>
      </c>
      <c r="D12" s="149">
        <v>102.33698628016924</v>
      </c>
      <c r="E12" s="149">
        <v>25.584246570042311</v>
      </c>
      <c r="F12" s="94">
        <v>13027.602152408776</v>
      </c>
    </row>
    <row r="13" spans="1:6" x14ac:dyDescent="0.25">
      <c r="B13" s="82"/>
      <c r="C13" s="82"/>
      <c r="D13" s="129">
        <f>SUM(D4:D12)</f>
        <v>1217.0511352026265</v>
      </c>
      <c r="E13" s="129">
        <f>SUM(E4:E12)</f>
        <v>315.09213412077111</v>
      </c>
      <c r="F13" s="101">
        <f>SUM(F4:F12)</f>
        <v>400264.30795711896</v>
      </c>
    </row>
    <row r="15" spans="1:6" x14ac:dyDescent="0.25">
      <c r="A15" s="208" t="s">
        <v>292</v>
      </c>
      <c r="B15" s="208"/>
      <c r="C15" s="208"/>
      <c r="D15" s="208"/>
      <c r="E15" s="208"/>
      <c r="F15" s="208"/>
    </row>
    <row r="16" spans="1:6" x14ac:dyDescent="0.25">
      <c r="A16" s="114" t="s">
        <v>275</v>
      </c>
      <c r="B16" s="114" t="s">
        <v>282</v>
      </c>
      <c r="C16" s="126" t="s">
        <v>277</v>
      </c>
      <c r="D16" s="127" t="s">
        <v>278</v>
      </c>
      <c r="E16" s="127" t="s">
        <v>278</v>
      </c>
      <c r="F16" s="114" t="s">
        <v>198</v>
      </c>
    </row>
    <row r="17" spans="1:7" ht="15.75" x14ac:dyDescent="0.25">
      <c r="A17" s="143" t="s">
        <v>92</v>
      </c>
      <c r="B17" s="135">
        <v>0.17</v>
      </c>
      <c r="C17" s="125">
        <v>285.75174838709671</v>
      </c>
      <c r="D17" s="128">
        <v>61.569488873636388</v>
      </c>
      <c r="E17" s="128">
        <v>61.569488873636388</v>
      </c>
      <c r="F17" s="94">
        <v>17593.589092941496</v>
      </c>
    </row>
    <row r="18" spans="1:7" ht="15.75" x14ac:dyDescent="0.25">
      <c r="A18" s="143" t="s">
        <v>93</v>
      </c>
      <c r="B18" s="135">
        <v>0.15</v>
      </c>
      <c r="C18" s="125">
        <v>391.77709565217384</v>
      </c>
      <c r="D18" s="128">
        <v>158.01862817128054</v>
      </c>
      <c r="E18" s="128">
        <v>39.504657042820135</v>
      </c>
      <c r="F18" s="94">
        <v>61908.07920388507</v>
      </c>
    </row>
    <row r="19" spans="1:7" ht="15.75" x14ac:dyDescent="0.25">
      <c r="A19" s="143" t="s">
        <v>77</v>
      </c>
      <c r="B19" s="135">
        <v>0.46</v>
      </c>
      <c r="C19" s="125">
        <v>345.32606046511637</v>
      </c>
      <c r="D19" s="128">
        <v>105.5661370324346</v>
      </c>
      <c r="E19" s="128">
        <v>21.113227406486921</v>
      </c>
      <c r="F19" s="94">
        <v>36454.738219931271</v>
      </c>
    </row>
    <row r="20" spans="1:7" ht="15.75" x14ac:dyDescent="0.25">
      <c r="A20" s="143" t="s">
        <v>78</v>
      </c>
      <c r="B20" s="135">
        <v>0.19</v>
      </c>
      <c r="C20" s="125">
        <v>356.3630769230769</v>
      </c>
      <c r="D20" s="128">
        <v>120.63978565152696</v>
      </c>
      <c r="E20" s="128">
        <v>30.159946412881741</v>
      </c>
      <c r="F20" s="94">
        <v>42991.565214118615</v>
      </c>
    </row>
    <row r="21" spans="1:7" ht="15.75" x14ac:dyDescent="0.25">
      <c r="A21" s="143" t="s">
        <v>94</v>
      </c>
      <c r="B21" s="135">
        <v>0.23</v>
      </c>
      <c r="C21" s="125">
        <v>322.91307851851843</v>
      </c>
      <c r="D21" s="128">
        <v>251.81562617096432</v>
      </c>
      <c r="E21" s="128">
        <v>50.363125234192864</v>
      </c>
      <c r="F21" s="94">
        <v>81314.559065934489</v>
      </c>
    </row>
    <row r="22" spans="1:7" ht="15.75" x14ac:dyDescent="0.25">
      <c r="A22" s="143" t="s">
        <v>95</v>
      </c>
      <c r="B22" s="135">
        <v>0.19</v>
      </c>
      <c r="C22" s="125">
        <v>443.3514098360655</v>
      </c>
      <c r="D22" s="128">
        <v>147.49098047023335</v>
      </c>
      <c r="E22" s="128">
        <v>29.498196094046669</v>
      </c>
      <c r="F22" s="94">
        <v>65390.334129581563</v>
      </c>
    </row>
    <row r="23" spans="1:7" ht="15.75" x14ac:dyDescent="0.25">
      <c r="A23" s="115" t="s">
        <v>82</v>
      </c>
      <c r="B23" s="152">
        <v>0.1</v>
      </c>
      <c r="C23" s="154">
        <v>522.70067010309288</v>
      </c>
      <c r="D23" s="128">
        <v>121.33152429830457</v>
      </c>
      <c r="E23" s="128">
        <v>24.266304859660913</v>
      </c>
      <c r="F23" s="113">
        <v>63420.069055353488</v>
      </c>
      <c r="G23" t="s">
        <v>293</v>
      </c>
    </row>
    <row r="24" spans="1:7" x14ac:dyDescent="0.25">
      <c r="B24" s="82"/>
      <c r="C24" s="82"/>
      <c r="D24" s="129">
        <f>SUM(D17:D23)</f>
        <v>966.43217066838076</v>
      </c>
      <c r="E24" s="129">
        <f>SUM(E17:E23)</f>
        <v>256.47494592372561</v>
      </c>
      <c r="F24" s="101">
        <f>SUM(F17:F23)</f>
        <v>369072.93398174597</v>
      </c>
    </row>
    <row r="26" spans="1:7" ht="15" customHeight="1" x14ac:dyDescent="0.25">
      <c r="A26" s="209" t="s">
        <v>290</v>
      </c>
      <c r="B26" s="209"/>
      <c r="C26" s="209"/>
      <c r="D26" s="209"/>
      <c r="E26" s="209"/>
      <c r="F26" s="209"/>
    </row>
    <row r="27" spans="1:7" x14ac:dyDescent="0.25">
      <c r="A27" s="209"/>
      <c r="B27" s="209"/>
      <c r="C27" s="209"/>
      <c r="D27" s="209"/>
      <c r="E27" s="209"/>
      <c r="F27" s="209"/>
    </row>
    <row r="28" spans="1:7" x14ac:dyDescent="0.25">
      <c r="A28" s="209"/>
      <c r="B28" s="209"/>
      <c r="C28" s="209"/>
      <c r="D28" s="209"/>
      <c r="E28" s="209"/>
      <c r="F28" s="209"/>
    </row>
    <row r="30" spans="1:7" ht="15" customHeight="1" x14ac:dyDescent="0.25">
      <c r="A30" s="209" t="s">
        <v>291</v>
      </c>
      <c r="B30" s="209"/>
      <c r="C30" s="209"/>
      <c r="D30" s="209"/>
      <c r="E30" s="209"/>
      <c r="F30" s="209"/>
    </row>
    <row r="31" spans="1:7" x14ac:dyDescent="0.25">
      <c r="A31" s="209"/>
      <c r="B31" s="209"/>
      <c r="C31" s="209"/>
      <c r="D31" s="209"/>
      <c r="E31" s="209"/>
      <c r="F31" s="209"/>
    </row>
    <row r="32" spans="1:7" x14ac:dyDescent="0.25">
      <c r="A32" s="209"/>
      <c r="B32" s="209"/>
      <c r="C32" s="209"/>
      <c r="D32" s="209"/>
      <c r="E32" s="209"/>
      <c r="F32" s="209"/>
    </row>
  </sheetData>
  <mergeCells count="4">
    <mergeCell ref="A2:F2"/>
    <mergeCell ref="A15:F15"/>
    <mergeCell ref="A26:F28"/>
    <mergeCell ref="A30:F3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32"/>
  <sheetViews>
    <sheetView zoomScaleNormal="100" workbookViewId="0">
      <selection activeCell="C6" sqref="C6"/>
    </sheetView>
  </sheetViews>
  <sheetFormatPr defaultRowHeight="15" x14ac:dyDescent="0.25"/>
  <cols>
    <col min="1" max="1" width="3.42578125" customWidth="1"/>
    <col min="2" max="2" width="31.5703125" bestFit="1" customWidth="1"/>
    <col min="3" max="4" width="14.28515625" style="82" bestFit="1" customWidth="1"/>
    <col min="5" max="5" width="6.140625" customWidth="1"/>
    <col min="6" max="6" width="26" bestFit="1" customWidth="1"/>
    <col min="7" max="7" width="14.28515625" style="82" bestFit="1" customWidth="1"/>
    <col min="8" max="8" width="13.28515625" bestFit="1" customWidth="1"/>
    <col min="9" max="9" width="8.42578125" bestFit="1" customWidth="1"/>
    <col min="10" max="11" width="14.28515625" bestFit="1" customWidth="1"/>
    <col min="12" max="12" width="20.5703125" bestFit="1" customWidth="1"/>
  </cols>
  <sheetData>
    <row r="1" spans="2:12" x14ac:dyDescent="0.25">
      <c r="C1" s="83" t="s">
        <v>88</v>
      </c>
      <c r="D1" s="83" t="s">
        <v>89</v>
      </c>
    </row>
    <row r="2" spans="2:12" x14ac:dyDescent="0.25">
      <c r="B2" s="106" t="s">
        <v>87</v>
      </c>
      <c r="C2" s="107">
        <v>27802.49</v>
      </c>
      <c r="D2" s="107">
        <f>C2/6</f>
        <v>4633.7483333333339</v>
      </c>
      <c r="F2" s="114" t="s">
        <v>275</v>
      </c>
      <c r="G2" s="114" t="s">
        <v>202</v>
      </c>
      <c r="H2" s="114" t="s">
        <v>203</v>
      </c>
      <c r="I2" s="114" t="s">
        <v>235</v>
      </c>
      <c r="J2" s="114" t="s">
        <v>201</v>
      </c>
      <c r="K2" s="114" t="s">
        <v>198</v>
      </c>
      <c r="L2" s="114" t="s">
        <v>258</v>
      </c>
    </row>
    <row r="3" spans="2:12" ht="15.75" x14ac:dyDescent="0.25">
      <c r="B3" t="s">
        <v>90</v>
      </c>
      <c r="C3" s="108">
        <v>181272.25</v>
      </c>
      <c r="D3" s="108">
        <f>C3/6</f>
        <v>30212.041666666668</v>
      </c>
      <c r="F3" s="115" t="s">
        <v>92</v>
      </c>
      <c r="G3" s="85">
        <f>G16+J16</f>
        <v>8822.285453766237</v>
      </c>
      <c r="H3" s="92">
        <f>H16+K16</f>
        <v>1485.8380000000002</v>
      </c>
      <c r="I3" s="104" t="s">
        <v>261</v>
      </c>
      <c r="J3" s="92">
        <f>I3*$D$6</f>
        <v>6872.1896304700158</v>
      </c>
      <c r="K3" s="94">
        <f>G3+H3+J3</f>
        <v>17180.313084236252</v>
      </c>
      <c r="L3" s="113">
        <f>K3/I3</f>
        <v>554.20364787858875</v>
      </c>
    </row>
    <row r="4" spans="2:12" ht="15.75" x14ac:dyDescent="0.25">
      <c r="B4" s="42" t="s">
        <v>91</v>
      </c>
      <c r="C4" s="109"/>
      <c r="D4" s="109">
        <f>Planilha3!E81+Planilha3!E82</f>
        <v>101932.95199999999</v>
      </c>
      <c r="F4" s="115" t="s">
        <v>93</v>
      </c>
      <c r="G4" s="85">
        <f t="shared" ref="G4:G12" si="0">G17+J17</f>
        <v>33395.513832751043</v>
      </c>
      <c r="H4" s="92">
        <f t="shared" ref="H4:H12" si="1">H17+K17</f>
        <v>1485.8380000000002</v>
      </c>
      <c r="I4" s="104" t="s">
        <v>262</v>
      </c>
      <c r="J4" s="92">
        <f t="shared" ref="J4:J12" si="2">I4*$D$6</f>
        <v>26602.024376012967</v>
      </c>
      <c r="K4" s="94">
        <f t="shared" ref="K4:K12" si="3">G4+H4+J4</f>
        <v>61483.376208764013</v>
      </c>
      <c r="L4" s="113">
        <f t="shared" ref="L4:L12" si="4">K4/I4</f>
        <v>512.36146840636673</v>
      </c>
    </row>
    <row r="5" spans="2:12" ht="15.75" x14ac:dyDescent="0.25">
      <c r="B5" s="210" t="s">
        <v>198</v>
      </c>
      <c r="C5" s="210"/>
      <c r="D5" s="81">
        <f>SUM(D2:D4)</f>
        <v>136778.742</v>
      </c>
      <c r="F5" s="115" t="s">
        <v>77</v>
      </c>
      <c r="G5" s="85">
        <f t="shared" si="0"/>
        <v>22912.669533333334</v>
      </c>
      <c r="H5" s="92">
        <f t="shared" si="1"/>
        <v>3436.4227999999998</v>
      </c>
      <c r="I5" s="104" t="s">
        <v>260</v>
      </c>
      <c r="J5" s="92">
        <f t="shared" si="2"/>
        <v>11084.176823338736</v>
      </c>
      <c r="K5" s="94">
        <f t="shared" si="3"/>
        <v>37433.269156672068</v>
      </c>
      <c r="L5" s="113">
        <f t="shared" si="4"/>
        <v>748.66538313344131</v>
      </c>
    </row>
    <row r="6" spans="2:12" ht="15.75" x14ac:dyDescent="0.25">
      <c r="B6" s="5" t="s">
        <v>204</v>
      </c>
      <c r="C6" s="110" t="s">
        <v>257</v>
      </c>
      <c r="D6" s="111">
        <f>D5/C6</f>
        <v>221.68353646677471</v>
      </c>
      <c r="F6" s="115" t="s">
        <v>78</v>
      </c>
      <c r="G6" s="85">
        <f t="shared" si="0"/>
        <v>30705.719609994903</v>
      </c>
      <c r="H6" s="92">
        <f t="shared" si="1"/>
        <v>3120.2598000000003</v>
      </c>
      <c r="I6" s="104" t="s">
        <v>263</v>
      </c>
      <c r="J6" s="92">
        <f t="shared" si="2"/>
        <v>9089.0249951377627</v>
      </c>
      <c r="K6" s="94">
        <f t="shared" si="3"/>
        <v>42915.004405132669</v>
      </c>
      <c r="L6" s="113">
        <f t="shared" si="4"/>
        <v>1046.7074245154311</v>
      </c>
    </row>
    <row r="7" spans="2:12" ht="15.75" x14ac:dyDescent="0.25">
      <c r="F7" s="115" t="s">
        <v>94</v>
      </c>
      <c r="G7" s="85">
        <f t="shared" si="0"/>
        <v>47869.319882429336</v>
      </c>
      <c r="H7" s="92">
        <f t="shared" si="1"/>
        <v>1718.2113999999999</v>
      </c>
      <c r="I7" s="104" t="s">
        <v>264</v>
      </c>
      <c r="J7" s="92">
        <f t="shared" si="2"/>
        <v>30370.644495948134</v>
      </c>
      <c r="K7" s="94">
        <f t="shared" si="3"/>
        <v>79958.175778377466</v>
      </c>
      <c r="L7" s="113">
        <f t="shared" si="4"/>
        <v>583.63631955020048</v>
      </c>
    </row>
    <row r="8" spans="2:12" ht="15.75" x14ac:dyDescent="0.25">
      <c r="B8" s="106" t="s">
        <v>270</v>
      </c>
      <c r="C8" s="107"/>
      <c r="D8" s="107">
        <f>Planilha3!F81+Planilha3!F82</f>
        <v>26245.7258</v>
      </c>
      <c r="F8" s="115" t="s">
        <v>95</v>
      </c>
      <c r="G8" s="85">
        <f t="shared" si="0"/>
        <v>35000.290214117646</v>
      </c>
      <c r="H8" s="92">
        <f t="shared" si="1"/>
        <v>1718.2113999999999</v>
      </c>
      <c r="I8" s="104" t="s">
        <v>265</v>
      </c>
      <c r="J8" s="92">
        <f t="shared" si="2"/>
        <v>27488.758521880063</v>
      </c>
      <c r="K8" s="94">
        <f t="shared" si="3"/>
        <v>64207.260135997712</v>
      </c>
      <c r="L8" s="113">
        <f t="shared" si="4"/>
        <v>517.80048496772349</v>
      </c>
    </row>
    <row r="9" spans="2:12" ht="15.75" x14ac:dyDescent="0.25">
      <c r="B9" s="42" t="s">
        <v>271</v>
      </c>
      <c r="C9" s="109"/>
      <c r="D9" s="109">
        <f>Planilha3!D81+Planilha3!D82</f>
        <v>243980.68740000005</v>
      </c>
      <c r="F9" s="115" t="s">
        <v>82</v>
      </c>
      <c r="G9" s="85">
        <f t="shared" si="0"/>
        <v>47187.189255353529</v>
      </c>
      <c r="H9" s="92">
        <f t="shared" si="1"/>
        <v>3436.4227999999998</v>
      </c>
      <c r="I9" s="104" t="s">
        <v>266</v>
      </c>
      <c r="J9" s="92">
        <f t="shared" si="2"/>
        <v>21503.303037277146</v>
      </c>
      <c r="K9" s="94">
        <f t="shared" si="3"/>
        <v>72126.915092630676</v>
      </c>
      <c r="L9" s="113">
        <f t="shared" si="4"/>
        <v>743.57644425392448</v>
      </c>
    </row>
    <row r="10" spans="2:12" ht="15.75" x14ac:dyDescent="0.25">
      <c r="D10" s="81">
        <f>SUM(D8:D9)</f>
        <v>270226.41320000007</v>
      </c>
      <c r="F10" s="115" t="s">
        <v>96</v>
      </c>
      <c r="G10" s="85">
        <f t="shared" si="0"/>
        <v>7695.8359111111113</v>
      </c>
      <c r="H10" s="92">
        <f t="shared" si="1"/>
        <v>3436.4227999999998</v>
      </c>
      <c r="I10" s="104" t="s">
        <v>268</v>
      </c>
      <c r="J10" s="92">
        <f t="shared" si="2"/>
        <v>886.73414586709885</v>
      </c>
      <c r="K10" s="94">
        <f t="shared" si="3"/>
        <v>12018.99285697821</v>
      </c>
      <c r="L10" s="113">
        <f t="shared" si="4"/>
        <v>3004.7482142445524</v>
      </c>
    </row>
    <row r="11" spans="2:12" ht="15.75" x14ac:dyDescent="0.25">
      <c r="F11" s="115" t="s">
        <v>97</v>
      </c>
      <c r="G11" s="85">
        <f t="shared" si="0"/>
        <v>7992.7633357142849</v>
      </c>
      <c r="H11" s="92">
        <f t="shared" si="1"/>
        <v>3436.4227999999998</v>
      </c>
      <c r="I11" s="104" t="s">
        <v>269</v>
      </c>
      <c r="J11" s="92">
        <f t="shared" si="2"/>
        <v>1551.784755267423</v>
      </c>
      <c r="K11" s="94">
        <f t="shared" si="3"/>
        <v>12980.970890981707</v>
      </c>
      <c r="L11" s="113">
        <f t="shared" si="4"/>
        <v>1854.4244129973868</v>
      </c>
    </row>
    <row r="12" spans="2:12" ht="15.75" x14ac:dyDescent="0.25">
      <c r="B12" s="211" t="s">
        <v>272</v>
      </c>
      <c r="C12" s="211"/>
      <c r="D12" s="112">
        <f>D10+D5</f>
        <v>407005.15520000004</v>
      </c>
      <c r="F12" s="115" t="s">
        <v>98</v>
      </c>
      <c r="G12" s="85">
        <f t="shared" si="0"/>
        <v>2399.1003714285716</v>
      </c>
      <c r="H12" s="92">
        <f t="shared" si="1"/>
        <v>2971.6760000000004</v>
      </c>
      <c r="I12" s="104" t="s">
        <v>267</v>
      </c>
      <c r="J12" s="92">
        <f t="shared" si="2"/>
        <v>1330.1012188006482</v>
      </c>
      <c r="K12" s="94">
        <f t="shared" si="3"/>
        <v>6700.87759022922</v>
      </c>
      <c r="L12" s="113">
        <f t="shared" si="4"/>
        <v>1116.8129317048699</v>
      </c>
    </row>
    <row r="13" spans="2:12" x14ac:dyDescent="0.25">
      <c r="G13" s="81">
        <f>SUM(G3:G12)</f>
        <v>243980.6874</v>
      </c>
      <c r="H13" s="81">
        <f>SUM(H3:H12)</f>
        <v>26245.7258</v>
      </c>
      <c r="I13" s="102">
        <v>617</v>
      </c>
      <c r="J13" s="81">
        <f>SUM(J3:J12)</f>
        <v>136778.742</v>
      </c>
      <c r="K13" s="81">
        <f>SUM(K3:K12)</f>
        <v>407005.15519999998</v>
      </c>
    </row>
    <row r="14" spans="2:12" s="116" customFormat="1" x14ac:dyDescent="0.25">
      <c r="C14" s="117"/>
      <c r="D14" s="117"/>
      <c r="G14" s="117"/>
    </row>
    <row r="15" spans="2:12" s="116" customFormat="1" x14ac:dyDescent="0.25">
      <c r="B15" s="114" t="s">
        <v>275</v>
      </c>
      <c r="C15" s="114" t="s">
        <v>276</v>
      </c>
      <c r="D15" s="117"/>
      <c r="F15" s="118"/>
      <c r="G15" s="122" t="s">
        <v>202</v>
      </c>
      <c r="H15" s="118" t="s">
        <v>203</v>
      </c>
      <c r="I15" s="118"/>
      <c r="J15" s="118" t="s">
        <v>274</v>
      </c>
      <c r="K15" s="118" t="s">
        <v>274</v>
      </c>
    </row>
    <row r="16" spans="2:12" s="116" customFormat="1" ht="15.75" x14ac:dyDescent="0.25">
      <c r="B16" s="115" t="s">
        <v>92</v>
      </c>
      <c r="C16" s="85">
        <v>10802.81</v>
      </c>
      <c r="D16" s="117"/>
      <c r="F16" s="118" t="s">
        <v>92</v>
      </c>
      <c r="G16" s="119">
        <v>7231.381519480522</v>
      </c>
      <c r="H16" s="119">
        <v>1217.9000000000001</v>
      </c>
      <c r="I16" s="120">
        <v>0.22</v>
      </c>
      <c r="J16" s="121">
        <f>G16*$I$16</f>
        <v>1590.9039342857147</v>
      </c>
      <c r="K16" s="121">
        <f>H16*$I$16</f>
        <v>267.93800000000005</v>
      </c>
    </row>
    <row r="17" spans="2:11" s="116" customFormat="1" ht="15.75" x14ac:dyDescent="0.25">
      <c r="B17" s="115" t="s">
        <v>93</v>
      </c>
      <c r="C17" s="85">
        <v>53636.149999999994</v>
      </c>
      <c r="D17" s="117"/>
      <c r="F17" s="118" t="s">
        <v>93</v>
      </c>
      <c r="G17" s="119">
        <v>27373.37199405823</v>
      </c>
      <c r="H17" s="119">
        <v>1217.9000000000001</v>
      </c>
      <c r="I17" s="120">
        <v>0.22</v>
      </c>
      <c r="J17" s="121">
        <f t="shared" ref="J17:J25" si="5">G17*$I$16</f>
        <v>6022.1418386928108</v>
      </c>
      <c r="K17" s="121">
        <f t="shared" ref="K17:K25" si="6">H17*$I$16</f>
        <v>267.93800000000005</v>
      </c>
    </row>
    <row r="18" spans="2:11" s="116" customFormat="1" ht="15.75" x14ac:dyDescent="0.25">
      <c r="B18" s="115" t="s">
        <v>77</v>
      </c>
      <c r="C18" s="85">
        <v>28017.020000000004</v>
      </c>
      <c r="D18" s="117"/>
      <c r="F18" s="118" t="s">
        <v>77</v>
      </c>
      <c r="G18" s="119">
        <v>18780.876666666667</v>
      </c>
      <c r="H18" s="119">
        <v>2816.74</v>
      </c>
      <c r="I18" s="120">
        <v>0.22</v>
      </c>
      <c r="J18" s="121">
        <f t="shared" si="5"/>
        <v>4131.7928666666667</v>
      </c>
      <c r="K18" s="121">
        <f t="shared" si="6"/>
        <v>619.68279999999993</v>
      </c>
    </row>
    <row r="19" spans="2:11" s="116" customFormat="1" ht="15.75" x14ac:dyDescent="0.25">
      <c r="B19" s="115" t="s">
        <v>78</v>
      </c>
      <c r="C19" s="85">
        <v>17372.7</v>
      </c>
      <c r="D19" s="117"/>
      <c r="F19" s="118" t="s">
        <v>78</v>
      </c>
      <c r="G19" s="119">
        <v>25168.622631143364</v>
      </c>
      <c r="H19" s="119">
        <v>2557.59</v>
      </c>
      <c r="I19" s="120">
        <v>0.22</v>
      </c>
      <c r="J19" s="121">
        <f t="shared" si="5"/>
        <v>5537.0969788515404</v>
      </c>
      <c r="K19" s="121">
        <f t="shared" si="6"/>
        <v>562.66980000000001</v>
      </c>
    </row>
    <row r="20" spans="2:11" s="116" customFormat="1" ht="15.75" x14ac:dyDescent="0.25">
      <c r="B20" s="115" t="s">
        <v>94</v>
      </c>
      <c r="C20" s="85">
        <v>57359.55999999999</v>
      </c>
      <c r="D20" s="117"/>
      <c r="F20" s="118" t="s">
        <v>94</v>
      </c>
      <c r="G20" s="119">
        <v>39237.147444614209</v>
      </c>
      <c r="H20" s="119">
        <v>1408.37</v>
      </c>
      <c r="I20" s="120">
        <v>0.22</v>
      </c>
      <c r="J20" s="121">
        <f t="shared" si="5"/>
        <v>8632.1724378151266</v>
      </c>
      <c r="K20" s="121">
        <f t="shared" si="6"/>
        <v>309.84139999999996</v>
      </c>
    </row>
    <row r="21" spans="2:11" s="116" customFormat="1" ht="15.75" x14ac:dyDescent="0.25">
      <c r="B21" s="115" t="s">
        <v>95</v>
      </c>
      <c r="C21" s="85">
        <v>67611.089999999982</v>
      </c>
      <c r="D21" s="117"/>
      <c r="F21" s="118" t="s">
        <v>95</v>
      </c>
      <c r="G21" s="119">
        <v>28688.762470588237</v>
      </c>
      <c r="H21" s="119">
        <v>1408.37</v>
      </c>
      <c r="I21" s="120">
        <v>0.22</v>
      </c>
      <c r="J21" s="121">
        <f t="shared" si="5"/>
        <v>6311.527743529412</v>
      </c>
      <c r="K21" s="121">
        <f t="shared" si="6"/>
        <v>309.84139999999996</v>
      </c>
    </row>
    <row r="22" spans="2:11" s="116" customFormat="1" ht="15.75" x14ac:dyDescent="0.25">
      <c r="B22" s="115" t="s">
        <v>82</v>
      </c>
      <c r="C22" s="85">
        <v>56968.500000000007</v>
      </c>
      <c r="D22" s="117"/>
      <c r="F22" s="118" t="s">
        <v>82</v>
      </c>
      <c r="G22" s="119">
        <v>38678.023979797974</v>
      </c>
      <c r="H22" s="119">
        <v>2816.74</v>
      </c>
      <c r="I22" s="120">
        <v>0.22</v>
      </c>
      <c r="J22" s="121">
        <f t="shared" si="5"/>
        <v>8509.1652755555551</v>
      </c>
      <c r="K22" s="121">
        <f t="shared" si="6"/>
        <v>619.68279999999993</v>
      </c>
    </row>
    <row r="23" spans="2:11" s="116" customFormat="1" ht="15.75" x14ac:dyDescent="0.25">
      <c r="B23" s="115" t="s">
        <v>96</v>
      </c>
      <c r="C23" s="85">
        <v>841.51</v>
      </c>
      <c r="D23" s="117"/>
      <c r="F23" s="118" t="s">
        <v>96</v>
      </c>
      <c r="G23" s="119">
        <v>6308.0622222222228</v>
      </c>
      <c r="H23" s="119">
        <v>2816.74</v>
      </c>
      <c r="I23" s="120">
        <v>0.22</v>
      </c>
      <c r="J23" s="121">
        <f t="shared" si="5"/>
        <v>1387.773688888889</v>
      </c>
      <c r="K23" s="121">
        <f t="shared" si="6"/>
        <v>619.68279999999993</v>
      </c>
    </row>
    <row r="24" spans="2:11" s="116" customFormat="1" ht="15.75" x14ac:dyDescent="0.25">
      <c r="B24" s="115" t="s">
        <v>97</v>
      </c>
      <c r="C24" s="85">
        <v>2284.8900000000003</v>
      </c>
      <c r="D24" s="117"/>
      <c r="F24" s="118" t="s">
        <v>97</v>
      </c>
      <c r="G24" s="119">
        <v>6551.4453571428567</v>
      </c>
      <c r="H24" s="119">
        <v>2816.74</v>
      </c>
      <c r="I24" s="120">
        <v>0.22</v>
      </c>
      <c r="J24" s="121">
        <f t="shared" si="5"/>
        <v>1441.3179785714285</v>
      </c>
      <c r="K24" s="121">
        <f t="shared" si="6"/>
        <v>619.68279999999993</v>
      </c>
    </row>
    <row r="25" spans="2:11" s="116" customFormat="1" ht="15.75" x14ac:dyDescent="0.25">
      <c r="B25" s="115" t="s">
        <v>98</v>
      </c>
      <c r="C25" s="85">
        <f>6*238</f>
        <v>1428</v>
      </c>
      <c r="D25" s="117"/>
      <c r="F25" s="118" t="s">
        <v>98</v>
      </c>
      <c r="G25" s="119">
        <v>1966.4757142857143</v>
      </c>
      <c r="H25" s="119">
        <v>2435.8000000000002</v>
      </c>
      <c r="I25" s="120">
        <v>0.22</v>
      </c>
      <c r="J25" s="121">
        <f t="shared" si="5"/>
        <v>432.62465714285713</v>
      </c>
      <c r="K25" s="121">
        <f t="shared" si="6"/>
        <v>535.87600000000009</v>
      </c>
    </row>
    <row r="26" spans="2:11" s="116" customFormat="1" x14ac:dyDescent="0.25">
      <c r="B26"/>
      <c r="C26" s="81">
        <f>SUM(C16:C25)</f>
        <v>296322.23</v>
      </c>
      <c r="D26" s="117"/>
      <c r="G26" s="122">
        <f>SUM(G16:G25)</f>
        <v>199984.16999999998</v>
      </c>
      <c r="H26" s="122">
        <f>SUM(H16:H25)</f>
        <v>21512.889999999996</v>
      </c>
      <c r="J26" s="122">
        <f t="shared" ref="J26:K26" si="7">SUM(J16:J25)</f>
        <v>43996.517400000004</v>
      </c>
      <c r="K26" s="122">
        <f t="shared" si="7"/>
        <v>4732.8357999999998</v>
      </c>
    </row>
    <row r="27" spans="2:11" s="116" customFormat="1" x14ac:dyDescent="0.25">
      <c r="C27" s="117"/>
      <c r="D27" s="117"/>
      <c r="G27" s="117"/>
    </row>
    <row r="28" spans="2:11" s="116" customFormat="1" x14ac:dyDescent="0.25">
      <c r="C28" s="117"/>
      <c r="D28" s="117"/>
      <c r="G28" s="117"/>
    </row>
    <row r="29" spans="2:11" s="116" customFormat="1" x14ac:dyDescent="0.25">
      <c r="C29" s="117"/>
      <c r="D29" s="117"/>
      <c r="G29" s="117"/>
    </row>
    <row r="30" spans="2:11" s="116" customFormat="1" x14ac:dyDescent="0.25">
      <c r="C30" s="117"/>
      <c r="D30" s="117"/>
      <c r="G30" s="117"/>
    </row>
    <row r="31" spans="2:11" s="116" customFormat="1" x14ac:dyDescent="0.25">
      <c r="C31" s="117"/>
      <c r="D31" s="117"/>
      <c r="G31" s="117"/>
    </row>
    <row r="32" spans="2:11" s="116" customFormat="1" x14ac:dyDescent="0.25">
      <c r="C32" s="117"/>
      <c r="D32" s="117"/>
      <c r="G32" s="117"/>
    </row>
  </sheetData>
  <mergeCells count="2">
    <mergeCell ref="B5:C5"/>
    <mergeCell ref="B12:C12"/>
  </mergeCells>
  <pageMargins left="0.511811024" right="0.511811024" top="0.78740157499999996" bottom="0.78740157499999996" header="0.31496062000000002" footer="0.31496062000000002"/>
  <pageSetup paperSize="9" scale="76" orientation="landscape" r:id="rId1"/>
  <ignoredErrors>
    <ignoredError sqref="I3:I12 C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84"/>
  <sheetViews>
    <sheetView topLeftCell="A2" zoomScale="85" zoomScaleNormal="85" workbookViewId="0">
      <pane ySplit="1" topLeftCell="A3" activePane="bottomLeft" state="frozen"/>
      <selection activeCell="A2" sqref="A2"/>
      <selection pane="bottomLeft" activeCell="G20" sqref="G20"/>
    </sheetView>
  </sheetViews>
  <sheetFormatPr defaultRowHeight="15" x14ac:dyDescent="0.25"/>
  <cols>
    <col min="1" max="1" width="3" bestFit="1" customWidth="1"/>
    <col min="2" max="2" width="29.85546875" bestFit="1" customWidth="1"/>
    <col min="3" max="3" width="19.85546875" bestFit="1" customWidth="1"/>
    <col min="4" max="4" width="14.28515625" style="82" bestFit="1" customWidth="1"/>
    <col min="5" max="5" width="13.28515625" style="82" bestFit="1" customWidth="1"/>
    <col min="6" max="6" width="16.5703125" style="82" bestFit="1" customWidth="1"/>
    <col min="12" max="12" width="10.85546875" bestFit="1" customWidth="1"/>
    <col min="13" max="13" width="10.28515625" bestFit="1" customWidth="1"/>
    <col min="19" max="19" width="12.28515625" style="93" bestFit="1" customWidth="1"/>
    <col min="20" max="20" width="13.42578125" style="82" bestFit="1" customWidth="1"/>
    <col min="21" max="21" width="12.28515625" style="82" bestFit="1" customWidth="1"/>
    <col min="22" max="26" width="13.42578125" style="82" bestFit="1" customWidth="1"/>
    <col min="27" max="30" width="12.28515625" style="82" bestFit="1" customWidth="1"/>
    <col min="31" max="32" width="14.42578125" bestFit="1" customWidth="1"/>
    <col min="33" max="33" width="13.42578125" bestFit="1" customWidth="1"/>
  </cols>
  <sheetData>
    <row r="1" spans="1:33" hidden="1" x14ac:dyDescent="0.25">
      <c r="G1" s="255" t="s">
        <v>127</v>
      </c>
      <c r="H1" s="256"/>
      <c r="I1" s="256"/>
      <c r="J1" s="256"/>
      <c r="K1" s="256"/>
      <c r="L1" s="256"/>
      <c r="M1" s="256"/>
      <c r="N1" s="256"/>
      <c r="T1" s="258" t="s">
        <v>127</v>
      </c>
      <c r="U1" s="259"/>
      <c r="V1" s="259"/>
      <c r="W1" s="259"/>
      <c r="X1" s="259"/>
      <c r="Y1" s="259"/>
      <c r="Z1" s="259"/>
      <c r="AA1" s="259"/>
    </row>
    <row r="2" spans="1:33" x14ac:dyDescent="0.25">
      <c r="A2" s="88" t="s">
        <v>137</v>
      </c>
      <c r="B2" s="86" t="s">
        <v>135</v>
      </c>
      <c r="C2" s="86" t="s">
        <v>136</v>
      </c>
      <c r="D2" s="87" t="s">
        <v>189</v>
      </c>
      <c r="E2" s="87" t="s">
        <v>99</v>
      </c>
      <c r="F2" s="87" t="s">
        <v>136</v>
      </c>
      <c r="G2" s="86" t="s">
        <v>50</v>
      </c>
      <c r="H2" s="86" t="s">
        <v>51</v>
      </c>
      <c r="I2" s="86" t="s">
        <v>190</v>
      </c>
      <c r="J2" s="86" t="s">
        <v>191</v>
      </c>
      <c r="K2" s="86" t="s">
        <v>128</v>
      </c>
      <c r="L2" s="86" t="s">
        <v>192</v>
      </c>
      <c r="M2" s="86" t="s">
        <v>193</v>
      </c>
      <c r="N2" s="86" t="s">
        <v>194</v>
      </c>
      <c r="O2" s="86" t="s">
        <v>195</v>
      </c>
      <c r="P2" s="86" t="s">
        <v>196</v>
      </c>
      <c r="Q2" s="86" t="s">
        <v>259</v>
      </c>
      <c r="R2" s="86" t="s">
        <v>198</v>
      </c>
      <c r="S2" s="86" t="s">
        <v>199</v>
      </c>
      <c r="T2" s="87" t="s">
        <v>50</v>
      </c>
      <c r="U2" s="87" t="s">
        <v>51</v>
      </c>
      <c r="V2" s="87" t="s">
        <v>190</v>
      </c>
      <c r="W2" s="87" t="s">
        <v>191</v>
      </c>
      <c r="X2" s="87" t="s">
        <v>128</v>
      </c>
      <c r="Y2" s="87" t="s">
        <v>192</v>
      </c>
      <c r="Z2" s="87" t="s">
        <v>193</v>
      </c>
      <c r="AA2" s="87" t="s">
        <v>194</v>
      </c>
      <c r="AB2" s="87" t="s">
        <v>195</v>
      </c>
      <c r="AC2" s="87" t="s">
        <v>196</v>
      </c>
      <c r="AD2" s="87" t="s">
        <v>259</v>
      </c>
      <c r="AE2" s="103" t="s">
        <v>198</v>
      </c>
      <c r="AF2" s="103" t="s">
        <v>200</v>
      </c>
      <c r="AG2" s="1"/>
    </row>
    <row r="3" spans="1:33" x14ac:dyDescent="0.25">
      <c r="A3" s="1">
        <v>1</v>
      </c>
      <c r="B3" s="1" t="s">
        <v>124</v>
      </c>
      <c r="C3" s="1"/>
      <c r="D3" s="85">
        <v>9433.59</v>
      </c>
      <c r="E3" s="85">
        <v>0</v>
      </c>
      <c r="F3" s="85">
        <v>0</v>
      </c>
      <c r="G3" s="1">
        <v>4</v>
      </c>
      <c r="H3" s="1">
        <v>2</v>
      </c>
      <c r="I3" s="1"/>
      <c r="J3" s="1">
        <v>12</v>
      </c>
      <c r="K3" s="1"/>
      <c r="L3" s="1"/>
      <c r="M3" s="1"/>
      <c r="N3" s="1"/>
      <c r="O3" s="1"/>
      <c r="P3" s="1"/>
      <c r="Q3" s="1"/>
      <c r="R3" s="86">
        <f>SUM(G3:Q3)</f>
        <v>18</v>
      </c>
      <c r="S3" s="94">
        <f>(D3/R3)</f>
        <v>524.08833333333337</v>
      </c>
      <c r="T3" s="85">
        <f t="shared" ref="T3:AD3" si="0">$S$3*G3</f>
        <v>2096.3533333333335</v>
      </c>
      <c r="U3" s="85">
        <f t="shared" si="0"/>
        <v>1048.1766666666667</v>
      </c>
      <c r="V3" s="85">
        <f t="shared" si="0"/>
        <v>0</v>
      </c>
      <c r="W3" s="85">
        <f t="shared" si="0"/>
        <v>6289.06</v>
      </c>
      <c r="X3" s="85">
        <f t="shared" si="0"/>
        <v>0</v>
      </c>
      <c r="Y3" s="85">
        <f t="shared" si="0"/>
        <v>0</v>
      </c>
      <c r="Z3" s="85">
        <f t="shared" si="0"/>
        <v>0</v>
      </c>
      <c r="AA3" s="85">
        <f t="shared" si="0"/>
        <v>0</v>
      </c>
      <c r="AB3" s="85">
        <f t="shared" si="0"/>
        <v>0</v>
      </c>
      <c r="AC3" s="85">
        <f t="shared" si="0"/>
        <v>0</v>
      </c>
      <c r="AD3" s="85">
        <f t="shared" si="0"/>
        <v>0</v>
      </c>
      <c r="AE3" s="94">
        <f>SUM(T3:AD3)</f>
        <v>9433.59</v>
      </c>
      <c r="AF3" s="92">
        <f>D3</f>
        <v>9433.59</v>
      </c>
      <c r="AG3" s="94">
        <f>AE3-AF3</f>
        <v>0</v>
      </c>
    </row>
    <row r="4" spans="1:33" x14ac:dyDescent="0.25">
      <c r="A4" s="1">
        <v>2</v>
      </c>
      <c r="B4" s="1" t="s">
        <v>175</v>
      </c>
      <c r="C4" s="1"/>
      <c r="D4" s="85">
        <v>2353.06</v>
      </c>
      <c r="E4" s="85">
        <v>0</v>
      </c>
      <c r="F4" s="85">
        <v>0</v>
      </c>
      <c r="G4" s="1"/>
      <c r="H4" s="1"/>
      <c r="I4" s="1"/>
      <c r="J4" s="1"/>
      <c r="K4" s="1">
        <v>2</v>
      </c>
      <c r="L4" s="1"/>
      <c r="M4" s="1"/>
      <c r="N4" s="1"/>
      <c r="O4" s="1"/>
      <c r="P4" s="1"/>
      <c r="Q4" s="1"/>
      <c r="R4" s="86">
        <f t="shared" ref="R4:R67" si="1">SUM(G4:Q4)</f>
        <v>2</v>
      </c>
      <c r="S4" s="94">
        <f t="shared" ref="S4:S57" si="2">(D4/R4)</f>
        <v>1176.53</v>
      </c>
      <c r="T4" s="85">
        <f>$S$4*G4</f>
        <v>0</v>
      </c>
      <c r="U4" s="85">
        <f t="shared" ref="U4:AD4" si="3">$S$4*H4</f>
        <v>0</v>
      </c>
      <c r="V4" s="85">
        <f t="shared" si="3"/>
        <v>0</v>
      </c>
      <c r="W4" s="85">
        <f t="shared" si="3"/>
        <v>0</v>
      </c>
      <c r="X4" s="85">
        <f t="shared" si="3"/>
        <v>2353.06</v>
      </c>
      <c r="Y4" s="85">
        <f t="shared" si="3"/>
        <v>0</v>
      </c>
      <c r="Z4" s="85">
        <f t="shared" si="3"/>
        <v>0</v>
      </c>
      <c r="AA4" s="85">
        <f t="shared" si="3"/>
        <v>0</v>
      </c>
      <c r="AB4" s="85">
        <f t="shared" si="3"/>
        <v>0</v>
      </c>
      <c r="AC4" s="85">
        <f t="shared" si="3"/>
        <v>0</v>
      </c>
      <c r="AD4" s="85">
        <f t="shared" si="3"/>
        <v>0</v>
      </c>
      <c r="AE4" s="94">
        <f t="shared" ref="AE4:AE67" si="4">SUM(T4:AD4)</f>
        <v>2353.06</v>
      </c>
      <c r="AF4" s="92">
        <f t="shared" ref="AF4:AF5" si="5">D4</f>
        <v>2353.06</v>
      </c>
      <c r="AG4" s="94">
        <f t="shared" ref="AG4:AG5" si="6">AE4-AF4</f>
        <v>0</v>
      </c>
    </row>
    <row r="5" spans="1:33" x14ac:dyDescent="0.25">
      <c r="A5" s="1">
        <v>3</v>
      </c>
      <c r="B5" s="1" t="s">
        <v>176</v>
      </c>
      <c r="C5" s="1"/>
      <c r="D5" s="85">
        <v>2997.6</v>
      </c>
      <c r="E5" s="85">
        <v>0</v>
      </c>
      <c r="F5" s="85">
        <v>0</v>
      </c>
      <c r="G5" s="1"/>
      <c r="H5" s="1"/>
      <c r="I5" s="1"/>
      <c r="J5" s="1"/>
      <c r="K5" s="1"/>
      <c r="L5" s="1"/>
      <c r="M5" s="1">
        <v>8</v>
      </c>
      <c r="N5" s="1"/>
      <c r="O5" s="1"/>
      <c r="P5" s="1"/>
      <c r="Q5" s="1"/>
      <c r="R5" s="86">
        <f t="shared" si="1"/>
        <v>8</v>
      </c>
      <c r="S5" s="94">
        <f t="shared" si="2"/>
        <v>374.7</v>
      </c>
      <c r="T5" s="85">
        <f>$S$5*G5</f>
        <v>0</v>
      </c>
      <c r="U5" s="85">
        <f t="shared" ref="U5:AD5" si="7">$S$5*H5</f>
        <v>0</v>
      </c>
      <c r="V5" s="85">
        <f t="shared" si="7"/>
        <v>0</v>
      </c>
      <c r="W5" s="85">
        <f t="shared" si="7"/>
        <v>0</v>
      </c>
      <c r="X5" s="85">
        <f t="shared" si="7"/>
        <v>0</v>
      </c>
      <c r="Y5" s="85">
        <f t="shared" si="7"/>
        <v>0</v>
      </c>
      <c r="Z5" s="85">
        <f t="shared" si="7"/>
        <v>2997.6</v>
      </c>
      <c r="AA5" s="85">
        <f t="shared" si="7"/>
        <v>0</v>
      </c>
      <c r="AB5" s="85">
        <f t="shared" si="7"/>
        <v>0</v>
      </c>
      <c r="AC5" s="85">
        <f t="shared" si="7"/>
        <v>0</v>
      </c>
      <c r="AD5" s="85">
        <f t="shared" si="7"/>
        <v>0</v>
      </c>
      <c r="AE5" s="94">
        <f t="shared" si="4"/>
        <v>2997.6</v>
      </c>
      <c r="AF5" s="92">
        <f t="shared" si="5"/>
        <v>2997.6</v>
      </c>
      <c r="AG5" s="94">
        <f t="shared" si="6"/>
        <v>0</v>
      </c>
    </row>
    <row r="6" spans="1:33" x14ac:dyDescent="0.25">
      <c r="A6" s="1">
        <v>4</v>
      </c>
      <c r="B6" s="1" t="s">
        <v>166</v>
      </c>
      <c r="C6" s="1"/>
      <c r="D6" s="85">
        <v>0</v>
      </c>
      <c r="E6" s="85">
        <v>1551.71</v>
      </c>
      <c r="F6" s="8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86">
        <f t="shared" si="1"/>
        <v>0</v>
      </c>
      <c r="S6" s="94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94">
        <f t="shared" si="4"/>
        <v>0</v>
      </c>
    </row>
    <row r="7" spans="1:33" x14ac:dyDescent="0.25">
      <c r="A7" s="1">
        <v>5</v>
      </c>
      <c r="B7" s="1" t="s">
        <v>177</v>
      </c>
      <c r="C7" s="1"/>
      <c r="D7" s="85">
        <v>4205.87</v>
      </c>
      <c r="E7" s="85">
        <v>0</v>
      </c>
      <c r="F7" s="85">
        <v>0</v>
      </c>
      <c r="G7" s="1"/>
      <c r="H7" s="1"/>
      <c r="I7" s="1"/>
      <c r="J7" s="1"/>
      <c r="K7" s="1"/>
      <c r="L7" s="1"/>
      <c r="M7" s="1">
        <v>12</v>
      </c>
      <c r="N7" s="1"/>
      <c r="O7" s="1"/>
      <c r="P7" s="1"/>
      <c r="Q7" s="1"/>
      <c r="R7" s="86">
        <f t="shared" si="1"/>
        <v>12</v>
      </c>
      <c r="S7" s="94">
        <f t="shared" si="2"/>
        <v>350.48916666666668</v>
      </c>
      <c r="T7" s="85">
        <f>$S$7*G7</f>
        <v>0</v>
      </c>
      <c r="U7" s="85">
        <f t="shared" ref="U7:AD7" si="8">$S$7*H7</f>
        <v>0</v>
      </c>
      <c r="V7" s="85">
        <f t="shared" si="8"/>
        <v>0</v>
      </c>
      <c r="W7" s="85">
        <f t="shared" si="8"/>
        <v>0</v>
      </c>
      <c r="X7" s="85">
        <f t="shared" si="8"/>
        <v>0</v>
      </c>
      <c r="Y7" s="85">
        <f t="shared" si="8"/>
        <v>0</v>
      </c>
      <c r="Z7" s="85">
        <f t="shared" si="8"/>
        <v>4205.87</v>
      </c>
      <c r="AA7" s="85">
        <f t="shared" si="8"/>
        <v>0</v>
      </c>
      <c r="AB7" s="85">
        <f t="shared" si="8"/>
        <v>0</v>
      </c>
      <c r="AC7" s="85">
        <f t="shared" si="8"/>
        <v>0</v>
      </c>
      <c r="AD7" s="85">
        <f t="shared" si="8"/>
        <v>0</v>
      </c>
      <c r="AE7" s="94">
        <f t="shared" si="4"/>
        <v>4205.87</v>
      </c>
      <c r="AF7" s="92">
        <f t="shared" ref="AF7:AF11" si="9">D7</f>
        <v>4205.87</v>
      </c>
      <c r="AG7" s="94">
        <f t="shared" ref="AG7:AG11" si="10">AE7-AF7</f>
        <v>0</v>
      </c>
    </row>
    <row r="8" spans="1:33" x14ac:dyDescent="0.25">
      <c r="A8" s="1">
        <v>6</v>
      </c>
      <c r="B8" s="1" t="s">
        <v>142</v>
      </c>
      <c r="C8" s="1" t="s">
        <v>143</v>
      </c>
      <c r="D8" s="85">
        <v>5495.99</v>
      </c>
      <c r="E8" s="85">
        <v>0</v>
      </c>
      <c r="F8" s="85">
        <v>2435.8000000000002</v>
      </c>
      <c r="G8" s="1">
        <v>3</v>
      </c>
      <c r="H8" s="1">
        <v>2</v>
      </c>
      <c r="I8" s="1"/>
      <c r="J8" s="1">
        <v>3</v>
      </c>
      <c r="K8" s="1"/>
      <c r="L8" s="1"/>
      <c r="M8" s="1">
        <v>2</v>
      </c>
      <c r="N8" s="1"/>
      <c r="O8" s="1"/>
      <c r="P8" s="1">
        <v>4</v>
      </c>
      <c r="Q8" s="1">
        <v>4</v>
      </c>
      <c r="R8" s="86">
        <f t="shared" si="1"/>
        <v>18</v>
      </c>
      <c r="S8" s="94">
        <f t="shared" si="2"/>
        <v>305.33277777777778</v>
      </c>
      <c r="T8" s="85">
        <f>$S$8*G8</f>
        <v>915.99833333333333</v>
      </c>
      <c r="U8" s="85">
        <f t="shared" ref="U8:AC8" si="11">$S$8*H8</f>
        <v>610.66555555555556</v>
      </c>
      <c r="V8" s="85">
        <f t="shared" si="11"/>
        <v>0</v>
      </c>
      <c r="W8" s="85">
        <f t="shared" si="11"/>
        <v>915.99833333333333</v>
      </c>
      <c r="X8" s="85">
        <f t="shared" si="11"/>
        <v>0</v>
      </c>
      <c r="Y8" s="85">
        <f t="shared" si="11"/>
        <v>0</v>
      </c>
      <c r="Z8" s="85">
        <f t="shared" si="11"/>
        <v>610.66555555555556</v>
      </c>
      <c r="AA8" s="85">
        <f t="shared" si="11"/>
        <v>0</v>
      </c>
      <c r="AB8" s="85">
        <f t="shared" si="11"/>
        <v>0</v>
      </c>
      <c r="AC8" s="85">
        <f t="shared" si="11"/>
        <v>1221.3311111111111</v>
      </c>
      <c r="AD8" s="85">
        <f>$S$8*Q8</f>
        <v>1221.3311111111111</v>
      </c>
      <c r="AE8" s="94">
        <f t="shared" si="4"/>
        <v>5495.99</v>
      </c>
      <c r="AF8" s="92">
        <f t="shared" si="9"/>
        <v>5495.99</v>
      </c>
      <c r="AG8" s="94">
        <f t="shared" si="10"/>
        <v>0</v>
      </c>
    </row>
    <row r="9" spans="1:33" x14ac:dyDescent="0.25">
      <c r="A9" s="1">
        <v>7</v>
      </c>
      <c r="B9" s="1" t="s">
        <v>145</v>
      </c>
      <c r="C9" s="1"/>
      <c r="D9" s="85">
        <v>6781.02</v>
      </c>
      <c r="E9" s="85">
        <v>2435.8000000000002</v>
      </c>
      <c r="F9" s="85">
        <v>0</v>
      </c>
      <c r="G9" s="1">
        <v>6</v>
      </c>
      <c r="H9" s="1"/>
      <c r="I9" s="1"/>
      <c r="J9" s="1">
        <v>2</v>
      </c>
      <c r="K9" s="1">
        <v>4</v>
      </c>
      <c r="L9" s="1">
        <v>4</v>
      </c>
      <c r="M9" s="1"/>
      <c r="N9" s="1"/>
      <c r="O9" s="1"/>
      <c r="P9" s="1"/>
      <c r="Q9" s="1"/>
      <c r="R9" s="86">
        <f t="shared" si="1"/>
        <v>16</v>
      </c>
      <c r="S9" s="94">
        <f t="shared" si="2"/>
        <v>423.81375000000003</v>
      </c>
      <c r="T9" s="85">
        <f>$S$9*G9</f>
        <v>2542.8825000000002</v>
      </c>
      <c r="U9" s="85">
        <f t="shared" ref="U9:AD9" si="12">$S$9*H9</f>
        <v>0</v>
      </c>
      <c r="V9" s="85">
        <f t="shared" si="12"/>
        <v>0</v>
      </c>
      <c r="W9" s="85">
        <f t="shared" si="12"/>
        <v>847.62750000000005</v>
      </c>
      <c r="X9" s="85">
        <f t="shared" si="12"/>
        <v>1695.2550000000001</v>
      </c>
      <c r="Y9" s="85">
        <f t="shared" si="12"/>
        <v>1695.2550000000001</v>
      </c>
      <c r="Z9" s="85">
        <f t="shared" si="12"/>
        <v>0</v>
      </c>
      <c r="AA9" s="85">
        <f t="shared" si="12"/>
        <v>0</v>
      </c>
      <c r="AB9" s="85">
        <f t="shared" si="12"/>
        <v>0</v>
      </c>
      <c r="AC9" s="85">
        <f t="shared" si="12"/>
        <v>0</v>
      </c>
      <c r="AD9" s="85">
        <f t="shared" si="12"/>
        <v>0</v>
      </c>
      <c r="AE9" s="94">
        <f t="shared" si="4"/>
        <v>6781.02</v>
      </c>
      <c r="AF9" s="92">
        <f t="shared" si="9"/>
        <v>6781.02</v>
      </c>
      <c r="AG9" s="94">
        <f t="shared" si="10"/>
        <v>0</v>
      </c>
    </row>
    <row r="10" spans="1:33" x14ac:dyDescent="0.25">
      <c r="A10" s="1">
        <v>8</v>
      </c>
      <c r="B10" s="1" t="s">
        <v>126</v>
      </c>
      <c r="C10" s="1"/>
      <c r="D10" s="85">
        <v>7079.48</v>
      </c>
      <c r="E10" s="85">
        <v>0</v>
      </c>
      <c r="F10" s="85">
        <v>0</v>
      </c>
      <c r="G10" s="1">
        <v>2</v>
      </c>
      <c r="H10" s="1"/>
      <c r="I10" s="1"/>
      <c r="J10" s="1">
        <v>2</v>
      </c>
      <c r="K10" s="1">
        <v>10</v>
      </c>
      <c r="L10" s="1"/>
      <c r="M10" s="1"/>
      <c r="N10" s="1"/>
      <c r="O10" s="1"/>
      <c r="P10" s="1"/>
      <c r="Q10" s="1"/>
      <c r="R10" s="86">
        <f t="shared" si="1"/>
        <v>14</v>
      </c>
      <c r="S10" s="94">
        <f t="shared" si="2"/>
        <v>505.67714285714283</v>
      </c>
      <c r="T10" s="85">
        <f>$S$10*G10</f>
        <v>1011.3542857142857</v>
      </c>
      <c r="U10" s="85">
        <f t="shared" ref="U10:AD10" si="13">$S$10*H10</f>
        <v>0</v>
      </c>
      <c r="V10" s="85">
        <f t="shared" si="13"/>
        <v>0</v>
      </c>
      <c r="W10" s="85">
        <f t="shared" si="13"/>
        <v>1011.3542857142857</v>
      </c>
      <c r="X10" s="85">
        <f t="shared" si="13"/>
        <v>5056.7714285714283</v>
      </c>
      <c r="Y10" s="85">
        <f t="shared" si="13"/>
        <v>0</v>
      </c>
      <c r="Z10" s="85">
        <f t="shared" si="13"/>
        <v>0</v>
      </c>
      <c r="AA10" s="85">
        <f t="shared" si="13"/>
        <v>0</v>
      </c>
      <c r="AB10" s="85">
        <f t="shared" si="13"/>
        <v>0</v>
      </c>
      <c r="AC10" s="85">
        <f t="shared" si="13"/>
        <v>0</v>
      </c>
      <c r="AD10" s="85">
        <f t="shared" si="13"/>
        <v>0</v>
      </c>
      <c r="AE10" s="94">
        <f t="shared" si="4"/>
        <v>7079.48</v>
      </c>
      <c r="AF10" s="92">
        <f t="shared" si="9"/>
        <v>7079.48</v>
      </c>
      <c r="AG10" s="94">
        <f t="shared" si="10"/>
        <v>0</v>
      </c>
    </row>
    <row r="11" spans="1:33" x14ac:dyDescent="0.25">
      <c r="A11" s="1">
        <v>9</v>
      </c>
      <c r="B11" s="1" t="s">
        <v>197</v>
      </c>
      <c r="C11" s="1"/>
      <c r="D11" s="85">
        <v>4456.4399999999996</v>
      </c>
      <c r="E11" s="85">
        <v>0</v>
      </c>
      <c r="F11" s="85">
        <v>0</v>
      </c>
      <c r="G11" s="1">
        <v>6</v>
      </c>
      <c r="H11" s="1"/>
      <c r="I11" s="1"/>
      <c r="J11" s="1">
        <v>2</v>
      </c>
      <c r="K11" s="1"/>
      <c r="L11" s="1"/>
      <c r="M11" s="1"/>
      <c r="N11" s="1">
        <v>4</v>
      </c>
      <c r="O11" s="1">
        <v>2</v>
      </c>
      <c r="P11" s="1"/>
      <c r="Q11" s="1"/>
      <c r="R11" s="86">
        <f t="shared" si="1"/>
        <v>14</v>
      </c>
      <c r="S11" s="94">
        <f t="shared" si="2"/>
        <v>318.31714285714281</v>
      </c>
      <c r="T11" s="85">
        <f>$S$11*G11</f>
        <v>1909.9028571428569</v>
      </c>
      <c r="U11" s="85">
        <f t="shared" ref="U11:AD11" si="14">$S$11*H11</f>
        <v>0</v>
      </c>
      <c r="V11" s="85">
        <f t="shared" si="14"/>
        <v>0</v>
      </c>
      <c r="W11" s="85">
        <f t="shared" si="14"/>
        <v>636.63428571428562</v>
      </c>
      <c r="X11" s="85">
        <f t="shared" si="14"/>
        <v>0</v>
      </c>
      <c r="Y11" s="85">
        <f t="shared" si="14"/>
        <v>0</v>
      </c>
      <c r="Z11" s="85">
        <f t="shared" si="14"/>
        <v>0</v>
      </c>
      <c r="AA11" s="85">
        <f t="shared" si="14"/>
        <v>1273.2685714285712</v>
      </c>
      <c r="AB11" s="85">
        <f t="shared" si="14"/>
        <v>636.63428571428562</v>
      </c>
      <c r="AC11" s="85">
        <f t="shared" si="14"/>
        <v>0</v>
      </c>
      <c r="AD11" s="85">
        <f t="shared" si="14"/>
        <v>0</v>
      </c>
      <c r="AE11" s="94">
        <f t="shared" si="4"/>
        <v>4456.4399999999996</v>
      </c>
      <c r="AF11" s="92">
        <f t="shared" si="9"/>
        <v>4456.4399999999996</v>
      </c>
      <c r="AG11" s="94">
        <f t="shared" si="10"/>
        <v>0</v>
      </c>
    </row>
    <row r="12" spans="1:33" x14ac:dyDescent="0.25">
      <c r="A12" s="1">
        <v>10</v>
      </c>
      <c r="B12" s="1" t="s">
        <v>115</v>
      </c>
      <c r="C12" s="1"/>
      <c r="D12" s="85">
        <v>0</v>
      </c>
      <c r="E12" s="85">
        <v>1762.4</v>
      </c>
      <c r="F12" s="85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86">
        <f t="shared" si="1"/>
        <v>0</v>
      </c>
      <c r="S12" s="94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94">
        <f t="shared" si="4"/>
        <v>0</v>
      </c>
    </row>
    <row r="13" spans="1:33" x14ac:dyDescent="0.25">
      <c r="A13" s="1">
        <v>11</v>
      </c>
      <c r="B13" s="1" t="s">
        <v>188</v>
      </c>
      <c r="C13" s="1"/>
      <c r="D13" s="85">
        <v>3383.97</v>
      </c>
      <c r="E13" s="85">
        <v>0</v>
      </c>
      <c r="F13" s="85">
        <v>0</v>
      </c>
      <c r="G13" s="1"/>
      <c r="H13" s="1"/>
      <c r="I13" s="1">
        <v>10</v>
      </c>
      <c r="J13" s="1"/>
      <c r="K13" s="1"/>
      <c r="L13" s="1"/>
      <c r="M13" s="1"/>
      <c r="N13" s="1"/>
      <c r="O13" s="1"/>
      <c r="P13" s="1"/>
      <c r="Q13" s="1"/>
      <c r="R13" s="86">
        <f t="shared" si="1"/>
        <v>10</v>
      </c>
      <c r="S13" s="94">
        <f t="shared" si="2"/>
        <v>338.39699999999999</v>
      </c>
      <c r="T13" s="85">
        <f>$S$13*G13</f>
        <v>0</v>
      </c>
      <c r="U13" s="85">
        <f t="shared" ref="U13:AD13" si="15">$S$13*H13</f>
        <v>0</v>
      </c>
      <c r="V13" s="85">
        <f t="shared" si="15"/>
        <v>3383.97</v>
      </c>
      <c r="W13" s="85">
        <f t="shared" si="15"/>
        <v>0</v>
      </c>
      <c r="X13" s="85">
        <f t="shared" si="15"/>
        <v>0</v>
      </c>
      <c r="Y13" s="85">
        <f t="shared" si="15"/>
        <v>0</v>
      </c>
      <c r="Z13" s="85">
        <f t="shared" si="15"/>
        <v>0</v>
      </c>
      <c r="AA13" s="85">
        <f t="shared" si="15"/>
        <v>0</v>
      </c>
      <c r="AB13" s="85">
        <f t="shared" si="15"/>
        <v>0</v>
      </c>
      <c r="AC13" s="85">
        <f t="shared" si="15"/>
        <v>0</v>
      </c>
      <c r="AD13" s="85">
        <f t="shared" si="15"/>
        <v>0</v>
      </c>
      <c r="AE13" s="94">
        <f t="shared" si="4"/>
        <v>3383.97</v>
      </c>
      <c r="AF13" s="92">
        <f>D13</f>
        <v>3383.97</v>
      </c>
      <c r="AG13" s="94">
        <f>AE13-AF13</f>
        <v>0</v>
      </c>
    </row>
    <row r="14" spans="1:33" x14ac:dyDescent="0.25">
      <c r="A14" s="1">
        <v>12</v>
      </c>
      <c r="B14" s="1" t="s">
        <v>118</v>
      </c>
      <c r="C14" s="1"/>
      <c r="D14" s="85">
        <v>0</v>
      </c>
      <c r="E14" s="85">
        <v>1629.42</v>
      </c>
      <c r="F14" s="85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86">
        <f t="shared" si="1"/>
        <v>0</v>
      </c>
      <c r="S14" s="94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94">
        <f t="shared" si="4"/>
        <v>0</v>
      </c>
    </row>
    <row r="15" spans="1:33" x14ac:dyDescent="0.25">
      <c r="A15" s="1">
        <v>13</v>
      </c>
      <c r="B15" s="1" t="s">
        <v>153</v>
      </c>
      <c r="C15" s="1"/>
      <c r="D15" s="85">
        <v>0</v>
      </c>
      <c r="E15" s="85">
        <v>1592.67</v>
      </c>
      <c r="F15" s="85"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86">
        <f t="shared" si="1"/>
        <v>0</v>
      </c>
      <c r="S15" s="94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94">
        <f t="shared" si="4"/>
        <v>0</v>
      </c>
    </row>
    <row r="16" spans="1:33" x14ac:dyDescent="0.25">
      <c r="A16" s="1">
        <v>14</v>
      </c>
      <c r="B16" s="1" t="s">
        <v>162</v>
      </c>
      <c r="C16" s="1"/>
      <c r="D16" s="85">
        <v>0</v>
      </c>
      <c r="E16" s="85">
        <v>2592.4499999999998</v>
      </c>
      <c r="F16" s="85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6">
        <f t="shared" si="1"/>
        <v>0</v>
      </c>
      <c r="S16" s="94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94">
        <f t="shared" si="4"/>
        <v>0</v>
      </c>
    </row>
    <row r="17" spans="1:33" x14ac:dyDescent="0.25">
      <c r="A17" s="1">
        <v>15</v>
      </c>
      <c r="B17" s="1" t="s">
        <v>104</v>
      </c>
      <c r="C17" s="1"/>
      <c r="D17" s="85">
        <v>0</v>
      </c>
      <c r="E17" s="85">
        <v>1125.26</v>
      </c>
      <c r="F17" s="85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86">
        <f t="shared" si="1"/>
        <v>0</v>
      </c>
      <c r="S17" s="94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94">
        <f t="shared" si="4"/>
        <v>0</v>
      </c>
    </row>
    <row r="18" spans="1:33" x14ac:dyDescent="0.25">
      <c r="A18" s="1">
        <v>16</v>
      </c>
      <c r="B18" s="1" t="s">
        <v>149</v>
      </c>
      <c r="C18" s="1"/>
      <c r="D18" s="85">
        <v>0</v>
      </c>
      <c r="E18" s="85">
        <v>1651.88</v>
      </c>
      <c r="F18" s="85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6">
        <f t="shared" si="1"/>
        <v>0</v>
      </c>
      <c r="S18" s="94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94">
        <f t="shared" si="4"/>
        <v>0</v>
      </c>
    </row>
    <row r="19" spans="1:33" x14ac:dyDescent="0.25">
      <c r="A19" s="1">
        <v>17</v>
      </c>
      <c r="B19" s="1" t="s">
        <v>151</v>
      </c>
      <c r="C19" s="1"/>
      <c r="D19" s="85">
        <v>4136.96</v>
      </c>
      <c r="E19" s="85">
        <v>0</v>
      </c>
      <c r="F19" s="85">
        <v>0</v>
      </c>
      <c r="G19" s="1"/>
      <c r="H19" s="1"/>
      <c r="I19" s="1">
        <v>12</v>
      </c>
      <c r="J19" s="1"/>
      <c r="K19" s="1"/>
      <c r="L19" s="1"/>
      <c r="M19" s="1"/>
      <c r="N19" s="1"/>
      <c r="O19" s="1"/>
      <c r="P19" s="1"/>
      <c r="Q19" s="1"/>
      <c r="R19" s="86">
        <f t="shared" si="1"/>
        <v>12</v>
      </c>
      <c r="S19" s="94">
        <f t="shared" si="2"/>
        <v>344.74666666666667</v>
      </c>
      <c r="T19" s="85">
        <f>$S$19*G19</f>
        <v>0</v>
      </c>
      <c r="U19" s="85">
        <f t="shared" ref="U19:AD19" si="16">$S$19*H19</f>
        <v>0</v>
      </c>
      <c r="V19" s="85">
        <f t="shared" si="16"/>
        <v>4136.96</v>
      </c>
      <c r="W19" s="85">
        <f t="shared" si="16"/>
        <v>0</v>
      </c>
      <c r="X19" s="85">
        <f t="shared" si="16"/>
        <v>0</v>
      </c>
      <c r="Y19" s="85">
        <f t="shared" si="16"/>
        <v>0</v>
      </c>
      <c r="Z19" s="85">
        <f t="shared" si="16"/>
        <v>0</v>
      </c>
      <c r="AA19" s="85">
        <f t="shared" si="16"/>
        <v>0</v>
      </c>
      <c r="AB19" s="85">
        <f t="shared" si="16"/>
        <v>0</v>
      </c>
      <c r="AC19" s="85">
        <f t="shared" si="16"/>
        <v>0</v>
      </c>
      <c r="AD19" s="85">
        <f t="shared" si="16"/>
        <v>0</v>
      </c>
      <c r="AE19" s="94">
        <f t="shared" si="4"/>
        <v>4136.96</v>
      </c>
      <c r="AF19" s="92">
        <f t="shared" ref="AF19:AF20" si="17">D19</f>
        <v>4136.96</v>
      </c>
      <c r="AG19" s="94">
        <f t="shared" ref="AG19:AG20" si="18">AE19-AF19</f>
        <v>0</v>
      </c>
    </row>
    <row r="20" spans="1:33" x14ac:dyDescent="0.25">
      <c r="A20" s="1">
        <v>18</v>
      </c>
      <c r="B20" s="1" t="s">
        <v>112</v>
      </c>
      <c r="C20" s="1"/>
      <c r="D20" s="85">
        <v>5943.35</v>
      </c>
      <c r="E20" s="85">
        <v>8473.44</v>
      </c>
      <c r="F20" s="85">
        <v>0</v>
      </c>
      <c r="G20" s="1">
        <v>10</v>
      </c>
      <c r="H20" s="1">
        <v>2</v>
      </c>
      <c r="I20" s="1"/>
      <c r="J20" s="1">
        <v>6</v>
      </c>
      <c r="K20" s="1"/>
      <c r="L20" s="1">
        <v>2</v>
      </c>
      <c r="M20" s="1"/>
      <c r="N20" s="1"/>
      <c r="O20" s="1"/>
      <c r="P20" s="1"/>
      <c r="Q20" s="1"/>
      <c r="R20" s="86">
        <f t="shared" si="1"/>
        <v>20</v>
      </c>
      <c r="S20" s="94">
        <f t="shared" si="2"/>
        <v>297.16750000000002</v>
      </c>
      <c r="T20" s="85">
        <f>$S$20*G20</f>
        <v>2971.6750000000002</v>
      </c>
      <c r="U20" s="85">
        <f t="shared" ref="U20:AD20" si="19">$S$20*H20</f>
        <v>594.33500000000004</v>
      </c>
      <c r="V20" s="85">
        <f t="shared" si="19"/>
        <v>0</v>
      </c>
      <c r="W20" s="85">
        <f t="shared" si="19"/>
        <v>1783.0050000000001</v>
      </c>
      <c r="X20" s="85">
        <f t="shared" si="19"/>
        <v>0</v>
      </c>
      <c r="Y20" s="85">
        <f t="shared" si="19"/>
        <v>594.33500000000004</v>
      </c>
      <c r="Z20" s="85">
        <f t="shared" si="19"/>
        <v>0</v>
      </c>
      <c r="AA20" s="85">
        <f t="shared" si="19"/>
        <v>0</v>
      </c>
      <c r="AB20" s="85">
        <f t="shared" si="19"/>
        <v>0</v>
      </c>
      <c r="AC20" s="85">
        <f t="shared" si="19"/>
        <v>0</v>
      </c>
      <c r="AD20" s="85">
        <f t="shared" si="19"/>
        <v>0</v>
      </c>
      <c r="AE20" s="94">
        <f t="shared" si="4"/>
        <v>5943.35</v>
      </c>
      <c r="AF20" s="92">
        <f t="shared" si="17"/>
        <v>5943.35</v>
      </c>
      <c r="AG20" s="94">
        <f t="shared" si="18"/>
        <v>0</v>
      </c>
    </row>
    <row r="21" spans="1:33" x14ac:dyDescent="0.25">
      <c r="A21" s="1">
        <v>19</v>
      </c>
      <c r="B21" s="1" t="s">
        <v>103</v>
      </c>
      <c r="C21" s="1"/>
      <c r="D21" s="85">
        <v>0</v>
      </c>
      <c r="E21" s="85">
        <v>1503.18</v>
      </c>
      <c r="F21" s="85"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6">
        <f t="shared" si="1"/>
        <v>0</v>
      </c>
      <c r="S21" s="94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94">
        <f t="shared" si="4"/>
        <v>0</v>
      </c>
    </row>
    <row r="22" spans="1:33" x14ac:dyDescent="0.25">
      <c r="A22" s="1">
        <v>20</v>
      </c>
      <c r="B22" s="1" t="s">
        <v>148</v>
      </c>
      <c r="C22" s="1"/>
      <c r="D22" s="85">
        <v>2808.19</v>
      </c>
      <c r="E22" s="85">
        <v>0</v>
      </c>
      <c r="F22" s="85">
        <v>0</v>
      </c>
      <c r="G22" s="1"/>
      <c r="H22" s="1"/>
      <c r="I22" s="1"/>
      <c r="J22" s="1"/>
      <c r="K22" s="1"/>
      <c r="L22" s="1"/>
      <c r="M22" s="1"/>
      <c r="N22" s="1">
        <v>4</v>
      </c>
      <c r="O22" s="1">
        <v>4</v>
      </c>
      <c r="P22" s="1"/>
      <c r="Q22" s="1"/>
      <c r="R22" s="86">
        <f t="shared" si="1"/>
        <v>8</v>
      </c>
      <c r="S22" s="94">
        <f t="shared" si="2"/>
        <v>351.02375000000001</v>
      </c>
      <c r="T22" s="85">
        <f>$S$22*G22</f>
        <v>0</v>
      </c>
      <c r="U22" s="85">
        <f t="shared" ref="U22:AD22" si="20">$S$22*H22</f>
        <v>0</v>
      </c>
      <c r="V22" s="85">
        <f t="shared" si="20"/>
        <v>0</v>
      </c>
      <c r="W22" s="85">
        <f t="shared" si="20"/>
        <v>0</v>
      </c>
      <c r="X22" s="85">
        <f t="shared" si="20"/>
        <v>0</v>
      </c>
      <c r="Y22" s="85">
        <f t="shared" si="20"/>
        <v>0</v>
      </c>
      <c r="Z22" s="85">
        <f t="shared" si="20"/>
        <v>0</v>
      </c>
      <c r="AA22" s="85">
        <f t="shared" si="20"/>
        <v>1404.095</v>
      </c>
      <c r="AB22" s="85">
        <f t="shared" si="20"/>
        <v>1404.095</v>
      </c>
      <c r="AC22" s="85">
        <f t="shared" si="20"/>
        <v>0</v>
      </c>
      <c r="AD22" s="85">
        <f t="shared" si="20"/>
        <v>0</v>
      </c>
      <c r="AE22" s="94">
        <f t="shared" si="4"/>
        <v>2808.19</v>
      </c>
      <c r="AF22" s="92">
        <f t="shared" ref="AF22:AF30" si="21">D22</f>
        <v>2808.19</v>
      </c>
      <c r="AG22" s="94">
        <f t="shared" ref="AG22:AG30" si="22">AE22-AF22</f>
        <v>0</v>
      </c>
    </row>
    <row r="23" spans="1:33" x14ac:dyDescent="0.25">
      <c r="A23" s="1">
        <v>21</v>
      </c>
      <c r="B23" s="1" t="s">
        <v>141</v>
      </c>
      <c r="C23" s="1"/>
      <c r="D23" s="85">
        <v>3441.44</v>
      </c>
      <c r="E23" s="85">
        <v>0</v>
      </c>
      <c r="F23" s="85">
        <v>0</v>
      </c>
      <c r="G23" s="1">
        <v>2</v>
      </c>
      <c r="H23" s="1"/>
      <c r="I23" s="1"/>
      <c r="J23" s="1">
        <v>2</v>
      </c>
      <c r="K23" s="1">
        <v>2</v>
      </c>
      <c r="L23" s="1">
        <v>2</v>
      </c>
      <c r="M23" s="1"/>
      <c r="N23" s="1"/>
      <c r="O23" s="1"/>
      <c r="P23" s="1"/>
      <c r="Q23" s="1"/>
      <c r="R23" s="86">
        <f t="shared" si="1"/>
        <v>8</v>
      </c>
      <c r="S23" s="94">
        <f t="shared" si="2"/>
        <v>430.18</v>
      </c>
      <c r="T23" s="85">
        <f>$S$23*G23</f>
        <v>860.36</v>
      </c>
      <c r="U23" s="85">
        <f t="shared" ref="U23:AD23" si="23">$S$23*H23</f>
        <v>0</v>
      </c>
      <c r="V23" s="85">
        <f t="shared" si="23"/>
        <v>0</v>
      </c>
      <c r="W23" s="85">
        <f t="shared" si="23"/>
        <v>860.36</v>
      </c>
      <c r="X23" s="85">
        <f t="shared" si="23"/>
        <v>860.36</v>
      </c>
      <c r="Y23" s="85">
        <f t="shared" si="23"/>
        <v>860.36</v>
      </c>
      <c r="Z23" s="85">
        <f t="shared" si="23"/>
        <v>0</v>
      </c>
      <c r="AA23" s="85">
        <f t="shared" si="23"/>
        <v>0</v>
      </c>
      <c r="AB23" s="85">
        <f t="shared" si="23"/>
        <v>0</v>
      </c>
      <c r="AC23" s="85">
        <f t="shared" si="23"/>
        <v>0</v>
      </c>
      <c r="AD23" s="85">
        <f t="shared" si="23"/>
        <v>0</v>
      </c>
      <c r="AE23" s="94">
        <f t="shared" si="4"/>
        <v>3441.44</v>
      </c>
      <c r="AF23" s="92">
        <f t="shared" si="21"/>
        <v>3441.44</v>
      </c>
      <c r="AG23" s="94">
        <f t="shared" si="22"/>
        <v>0</v>
      </c>
    </row>
    <row r="24" spans="1:33" x14ac:dyDescent="0.25">
      <c r="A24" s="1">
        <v>22</v>
      </c>
      <c r="B24" s="1" t="s">
        <v>178</v>
      </c>
      <c r="C24" s="1"/>
      <c r="D24" s="85">
        <v>2438.1799999999998</v>
      </c>
      <c r="E24" s="85">
        <v>0</v>
      </c>
      <c r="F24" s="85">
        <v>0</v>
      </c>
      <c r="G24" s="1"/>
      <c r="H24" s="1"/>
      <c r="I24" s="1"/>
      <c r="J24" s="1"/>
      <c r="K24" s="1">
        <v>4</v>
      </c>
      <c r="L24" s="1">
        <v>4</v>
      </c>
      <c r="M24" s="1"/>
      <c r="N24" s="1"/>
      <c r="O24" s="1"/>
      <c r="P24" s="1"/>
      <c r="Q24" s="1"/>
      <c r="R24" s="86">
        <f t="shared" si="1"/>
        <v>8</v>
      </c>
      <c r="S24" s="94">
        <f t="shared" si="2"/>
        <v>304.77249999999998</v>
      </c>
      <c r="T24" s="85">
        <f>$S$24*G24</f>
        <v>0</v>
      </c>
      <c r="U24" s="85">
        <f t="shared" ref="U24:AD24" si="24">$S$24*H24</f>
        <v>0</v>
      </c>
      <c r="V24" s="85">
        <f t="shared" si="24"/>
        <v>0</v>
      </c>
      <c r="W24" s="85">
        <f t="shared" si="24"/>
        <v>0</v>
      </c>
      <c r="X24" s="85">
        <f t="shared" si="24"/>
        <v>1219.0899999999999</v>
      </c>
      <c r="Y24" s="85">
        <f t="shared" si="24"/>
        <v>1219.0899999999999</v>
      </c>
      <c r="Z24" s="85">
        <f t="shared" si="24"/>
        <v>0</v>
      </c>
      <c r="AA24" s="85">
        <f t="shared" si="24"/>
        <v>0</v>
      </c>
      <c r="AB24" s="85">
        <f t="shared" si="24"/>
        <v>0</v>
      </c>
      <c r="AC24" s="85">
        <f t="shared" si="24"/>
        <v>0</v>
      </c>
      <c r="AD24" s="85">
        <f t="shared" si="24"/>
        <v>0</v>
      </c>
      <c r="AE24" s="94">
        <f t="shared" si="4"/>
        <v>2438.1799999999998</v>
      </c>
      <c r="AF24" s="92">
        <f t="shared" si="21"/>
        <v>2438.1799999999998</v>
      </c>
      <c r="AG24" s="94">
        <f t="shared" si="22"/>
        <v>0</v>
      </c>
    </row>
    <row r="25" spans="1:33" x14ac:dyDescent="0.25">
      <c r="A25" s="1">
        <v>23</v>
      </c>
      <c r="B25" s="1" t="s">
        <v>179</v>
      </c>
      <c r="C25" s="1"/>
      <c r="D25" s="85">
        <v>2313.87</v>
      </c>
      <c r="E25" s="85">
        <v>0</v>
      </c>
      <c r="F25" s="85">
        <v>0</v>
      </c>
      <c r="G25" s="1"/>
      <c r="H25" s="1"/>
      <c r="I25" s="1"/>
      <c r="J25" s="1"/>
      <c r="K25" s="1"/>
      <c r="L25" s="1"/>
      <c r="M25" s="1">
        <v>8</v>
      </c>
      <c r="N25" s="1"/>
      <c r="O25" s="1"/>
      <c r="P25" s="1"/>
      <c r="Q25" s="1"/>
      <c r="R25" s="86">
        <f t="shared" si="1"/>
        <v>8</v>
      </c>
      <c r="S25" s="94">
        <f t="shared" si="2"/>
        <v>289.23374999999999</v>
      </c>
      <c r="T25" s="85">
        <f>$S$25*G25</f>
        <v>0</v>
      </c>
      <c r="U25" s="85">
        <f t="shared" ref="U25:AD25" si="25">$S$25*H25</f>
        <v>0</v>
      </c>
      <c r="V25" s="85">
        <f t="shared" si="25"/>
        <v>0</v>
      </c>
      <c r="W25" s="85">
        <f t="shared" si="25"/>
        <v>0</v>
      </c>
      <c r="X25" s="85">
        <f t="shared" si="25"/>
        <v>0</v>
      </c>
      <c r="Y25" s="85">
        <f t="shared" si="25"/>
        <v>0</v>
      </c>
      <c r="Z25" s="85">
        <f t="shared" si="25"/>
        <v>2313.87</v>
      </c>
      <c r="AA25" s="85">
        <f t="shared" si="25"/>
        <v>0</v>
      </c>
      <c r="AB25" s="85">
        <f t="shared" si="25"/>
        <v>0</v>
      </c>
      <c r="AC25" s="85">
        <f t="shared" si="25"/>
        <v>0</v>
      </c>
      <c r="AD25" s="85">
        <f t="shared" si="25"/>
        <v>0</v>
      </c>
      <c r="AE25" s="94">
        <f t="shared" si="4"/>
        <v>2313.87</v>
      </c>
      <c r="AF25" s="92">
        <f t="shared" si="21"/>
        <v>2313.87</v>
      </c>
      <c r="AG25" s="94">
        <f t="shared" si="22"/>
        <v>0</v>
      </c>
    </row>
    <row r="26" spans="1:33" x14ac:dyDescent="0.25">
      <c r="A26" s="1">
        <v>24</v>
      </c>
      <c r="B26" s="1" t="s">
        <v>138</v>
      </c>
      <c r="C26" s="1"/>
      <c r="D26" s="85">
        <v>5424.13</v>
      </c>
      <c r="E26" s="85">
        <v>0</v>
      </c>
      <c r="F26" s="85">
        <v>0</v>
      </c>
      <c r="G26" s="1"/>
      <c r="H26" s="1"/>
      <c r="I26" s="1"/>
      <c r="J26" s="1"/>
      <c r="K26" s="1">
        <v>8</v>
      </c>
      <c r="L26" s="1">
        <v>8</v>
      </c>
      <c r="M26" s="1"/>
      <c r="N26" s="1"/>
      <c r="O26" s="1"/>
      <c r="P26" s="1"/>
      <c r="Q26" s="1"/>
      <c r="R26" s="86">
        <f t="shared" si="1"/>
        <v>16</v>
      </c>
      <c r="S26" s="94">
        <f t="shared" si="2"/>
        <v>339.00812500000001</v>
      </c>
      <c r="T26" s="85">
        <f>$S$26*G26</f>
        <v>0</v>
      </c>
      <c r="U26" s="85">
        <f t="shared" ref="U26:AD26" si="26">$S$26*H26</f>
        <v>0</v>
      </c>
      <c r="V26" s="85">
        <f t="shared" si="26"/>
        <v>0</v>
      </c>
      <c r="W26" s="85">
        <f t="shared" si="26"/>
        <v>0</v>
      </c>
      <c r="X26" s="85">
        <f t="shared" si="26"/>
        <v>2712.0650000000001</v>
      </c>
      <c r="Y26" s="85">
        <f t="shared" si="26"/>
        <v>2712.0650000000001</v>
      </c>
      <c r="Z26" s="85">
        <f t="shared" si="26"/>
        <v>0</v>
      </c>
      <c r="AA26" s="85">
        <f t="shared" si="26"/>
        <v>0</v>
      </c>
      <c r="AB26" s="85">
        <f t="shared" si="26"/>
        <v>0</v>
      </c>
      <c r="AC26" s="85">
        <f t="shared" si="26"/>
        <v>0</v>
      </c>
      <c r="AD26" s="85">
        <f t="shared" si="26"/>
        <v>0</v>
      </c>
      <c r="AE26" s="94">
        <f t="shared" si="4"/>
        <v>5424.13</v>
      </c>
      <c r="AF26" s="92">
        <f t="shared" si="21"/>
        <v>5424.13</v>
      </c>
      <c r="AG26" s="94">
        <f t="shared" si="22"/>
        <v>0</v>
      </c>
    </row>
    <row r="27" spans="1:33" x14ac:dyDescent="0.25">
      <c r="A27" s="1">
        <v>25</v>
      </c>
      <c r="B27" s="1" t="s">
        <v>180</v>
      </c>
      <c r="C27" s="1"/>
      <c r="D27" s="85">
        <v>2663.68</v>
      </c>
      <c r="E27" s="85">
        <v>0</v>
      </c>
      <c r="F27" s="85">
        <v>0</v>
      </c>
      <c r="G27" s="1"/>
      <c r="H27" s="1"/>
      <c r="I27" s="1"/>
      <c r="J27" s="1"/>
      <c r="K27" s="1"/>
      <c r="L27" s="1"/>
      <c r="M27" s="1">
        <v>8</v>
      </c>
      <c r="N27" s="1"/>
      <c r="O27" s="1"/>
      <c r="P27" s="1"/>
      <c r="Q27" s="1"/>
      <c r="R27" s="86">
        <f t="shared" si="1"/>
        <v>8</v>
      </c>
      <c r="S27" s="94">
        <f t="shared" si="2"/>
        <v>332.96</v>
      </c>
      <c r="T27" s="85">
        <f>$S$27*G27</f>
        <v>0</v>
      </c>
      <c r="U27" s="85">
        <f t="shared" ref="U27:AD27" si="27">$S$27*H27</f>
        <v>0</v>
      </c>
      <c r="V27" s="85">
        <f t="shared" si="27"/>
        <v>0</v>
      </c>
      <c r="W27" s="85">
        <f t="shared" si="27"/>
        <v>0</v>
      </c>
      <c r="X27" s="85">
        <f t="shared" si="27"/>
        <v>0</v>
      </c>
      <c r="Y27" s="85">
        <f t="shared" si="27"/>
        <v>0</v>
      </c>
      <c r="Z27" s="85">
        <f t="shared" si="27"/>
        <v>2663.68</v>
      </c>
      <c r="AA27" s="85">
        <f t="shared" si="27"/>
        <v>0</v>
      </c>
      <c r="AB27" s="85">
        <f t="shared" si="27"/>
        <v>0</v>
      </c>
      <c r="AC27" s="85">
        <f t="shared" si="27"/>
        <v>0</v>
      </c>
      <c r="AD27" s="85">
        <f t="shared" si="27"/>
        <v>0</v>
      </c>
      <c r="AE27" s="94">
        <f t="shared" si="4"/>
        <v>2663.68</v>
      </c>
      <c r="AF27" s="92">
        <f t="shared" si="21"/>
        <v>2663.68</v>
      </c>
      <c r="AG27" s="94">
        <f t="shared" si="22"/>
        <v>0</v>
      </c>
    </row>
    <row r="28" spans="1:33" x14ac:dyDescent="0.25">
      <c r="A28" s="1">
        <v>26</v>
      </c>
      <c r="B28" s="1" t="s">
        <v>108</v>
      </c>
      <c r="C28" s="1" t="s">
        <v>131</v>
      </c>
      <c r="D28" s="85">
        <v>2879</v>
      </c>
      <c r="E28" s="85">
        <v>0</v>
      </c>
      <c r="F28" s="85">
        <v>2816.74</v>
      </c>
      <c r="G28" s="1"/>
      <c r="H28" s="1"/>
      <c r="I28" s="1"/>
      <c r="J28" s="1"/>
      <c r="K28" s="1"/>
      <c r="L28" s="1"/>
      <c r="M28" s="1"/>
      <c r="N28" s="1"/>
      <c r="O28" s="1"/>
      <c r="P28" s="1">
        <v>8</v>
      </c>
      <c r="Q28" s="1">
        <v>1</v>
      </c>
      <c r="R28" s="86">
        <f t="shared" si="1"/>
        <v>9</v>
      </c>
      <c r="S28" s="94">
        <f t="shared" si="2"/>
        <v>319.88888888888891</v>
      </c>
      <c r="T28" s="85">
        <f>$S$28*G28</f>
        <v>0</v>
      </c>
      <c r="U28" s="85">
        <f t="shared" ref="U28:AD28" si="28">$S$28*H28</f>
        <v>0</v>
      </c>
      <c r="V28" s="85">
        <f t="shared" si="28"/>
        <v>0</v>
      </c>
      <c r="W28" s="85">
        <f t="shared" si="28"/>
        <v>0</v>
      </c>
      <c r="X28" s="85">
        <f t="shared" si="28"/>
        <v>0</v>
      </c>
      <c r="Y28" s="85">
        <f t="shared" si="28"/>
        <v>0</v>
      </c>
      <c r="Z28" s="85">
        <f t="shared" si="28"/>
        <v>0</v>
      </c>
      <c r="AA28" s="85">
        <f t="shared" si="28"/>
        <v>0</v>
      </c>
      <c r="AB28" s="85">
        <f t="shared" si="28"/>
        <v>0</v>
      </c>
      <c r="AC28" s="85">
        <f t="shared" si="28"/>
        <v>2559.1111111111113</v>
      </c>
      <c r="AD28" s="85">
        <f t="shared" si="28"/>
        <v>319.88888888888891</v>
      </c>
      <c r="AE28" s="94">
        <f t="shared" si="4"/>
        <v>2879</v>
      </c>
      <c r="AF28" s="92">
        <f t="shared" si="21"/>
        <v>2879</v>
      </c>
      <c r="AG28" s="94">
        <f t="shared" si="22"/>
        <v>0</v>
      </c>
    </row>
    <row r="29" spans="1:33" x14ac:dyDescent="0.25">
      <c r="A29" s="1">
        <v>27</v>
      </c>
      <c r="B29" s="1" t="s">
        <v>107</v>
      </c>
      <c r="C29" s="1" t="s">
        <v>130</v>
      </c>
      <c r="D29" s="85">
        <v>5943.84</v>
      </c>
      <c r="E29" s="85">
        <v>0</v>
      </c>
      <c r="F29" s="85">
        <v>2435.8000000000002</v>
      </c>
      <c r="G29" s="1">
        <v>8</v>
      </c>
      <c r="H29" s="1">
        <v>2</v>
      </c>
      <c r="I29" s="1">
        <v>2</v>
      </c>
      <c r="J29" s="1">
        <v>2</v>
      </c>
      <c r="K29" s="1"/>
      <c r="L29" s="1"/>
      <c r="M29" s="1">
        <v>4</v>
      </c>
      <c r="N29" s="1"/>
      <c r="O29" s="1"/>
      <c r="P29" s="1"/>
      <c r="Q29" s="1"/>
      <c r="R29" s="86">
        <f t="shared" si="1"/>
        <v>18</v>
      </c>
      <c r="S29" s="94">
        <f t="shared" si="2"/>
        <v>330.21333333333337</v>
      </c>
      <c r="T29" s="85">
        <f>$S$29*G29</f>
        <v>2641.7066666666669</v>
      </c>
      <c r="U29" s="85">
        <f t="shared" ref="U29:AD29" si="29">$S$29*H29</f>
        <v>660.42666666666673</v>
      </c>
      <c r="V29" s="85">
        <f t="shared" si="29"/>
        <v>660.42666666666673</v>
      </c>
      <c r="W29" s="85">
        <f t="shared" si="29"/>
        <v>660.42666666666673</v>
      </c>
      <c r="X29" s="85">
        <f t="shared" si="29"/>
        <v>0</v>
      </c>
      <c r="Y29" s="85">
        <f t="shared" si="29"/>
        <v>0</v>
      </c>
      <c r="Z29" s="85">
        <f t="shared" si="29"/>
        <v>1320.8533333333335</v>
      </c>
      <c r="AA29" s="85">
        <f t="shared" si="29"/>
        <v>0</v>
      </c>
      <c r="AB29" s="85">
        <f t="shared" si="29"/>
        <v>0</v>
      </c>
      <c r="AC29" s="85">
        <f t="shared" si="29"/>
        <v>0</v>
      </c>
      <c r="AD29" s="85">
        <f t="shared" si="29"/>
        <v>0</v>
      </c>
      <c r="AE29" s="94">
        <f t="shared" si="4"/>
        <v>5943.8400000000011</v>
      </c>
      <c r="AF29" s="92">
        <f t="shared" si="21"/>
        <v>5943.84</v>
      </c>
      <c r="AG29" s="94">
        <f t="shared" si="22"/>
        <v>0</v>
      </c>
    </row>
    <row r="30" spans="1:33" x14ac:dyDescent="0.25">
      <c r="A30" s="1">
        <v>28</v>
      </c>
      <c r="B30" s="1" t="s">
        <v>181</v>
      </c>
      <c r="C30" s="1"/>
      <c r="D30" s="85">
        <v>2287.79</v>
      </c>
      <c r="E30" s="85">
        <v>0</v>
      </c>
      <c r="F30" s="85">
        <v>0</v>
      </c>
      <c r="G30" s="1"/>
      <c r="H30" s="1"/>
      <c r="I30" s="1">
        <v>8</v>
      </c>
      <c r="J30" s="1"/>
      <c r="K30" s="1"/>
      <c r="L30" s="1"/>
      <c r="M30" s="1"/>
      <c r="N30" s="1"/>
      <c r="O30" s="1"/>
      <c r="P30" s="1"/>
      <c r="Q30" s="1"/>
      <c r="R30" s="86">
        <f t="shared" si="1"/>
        <v>8</v>
      </c>
      <c r="S30" s="94">
        <f t="shared" si="2"/>
        <v>285.97375</v>
      </c>
      <c r="T30" s="85">
        <f>$S$30*G30</f>
        <v>0</v>
      </c>
      <c r="U30" s="85">
        <f t="shared" ref="U30:AD30" si="30">$S$30*H30</f>
        <v>0</v>
      </c>
      <c r="V30" s="85">
        <f t="shared" si="30"/>
        <v>2287.79</v>
      </c>
      <c r="W30" s="85">
        <f t="shared" si="30"/>
        <v>0</v>
      </c>
      <c r="X30" s="85">
        <f t="shared" si="30"/>
        <v>0</v>
      </c>
      <c r="Y30" s="85">
        <f t="shared" si="30"/>
        <v>0</v>
      </c>
      <c r="Z30" s="85">
        <f t="shared" si="30"/>
        <v>0</v>
      </c>
      <c r="AA30" s="85">
        <f t="shared" si="30"/>
        <v>0</v>
      </c>
      <c r="AB30" s="85">
        <f t="shared" si="30"/>
        <v>0</v>
      </c>
      <c r="AC30" s="85">
        <f t="shared" si="30"/>
        <v>0</v>
      </c>
      <c r="AD30" s="85">
        <f t="shared" si="30"/>
        <v>0</v>
      </c>
      <c r="AE30" s="94">
        <f t="shared" si="4"/>
        <v>2287.79</v>
      </c>
      <c r="AF30" s="92">
        <f t="shared" si="21"/>
        <v>2287.79</v>
      </c>
      <c r="AG30" s="94">
        <f t="shared" si="22"/>
        <v>0</v>
      </c>
    </row>
    <row r="31" spans="1:33" x14ac:dyDescent="0.25">
      <c r="A31" s="1">
        <v>29</v>
      </c>
      <c r="B31" s="1" t="s">
        <v>156</v>
      </c>
      <c r="C31" s="1"/>
      <c r="D31" s="85">
        <v>0</v>
      </c>
      <c r="E31" s="85">
        <v>1604.77</v>
      </c>
      <c r="F31" s="85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86">
        <f t="shared" si="1"/>
        <v>0</v>
      </c>
      <c r="S31" s="94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94">
        <f t="shared" si="4"/>
        <v>0</v>
      </c>
    </row>
    <row r="32" spans="1:33" x14ac:dyDescent="0.25">
      <c r="A32" s="1">
        <v>30</v>
      </c>
      <c r="B32" s="1" t="s">
        <v>105</v>
      </c>
      <c r="C32" s="1" t="s">
        <v>128</v>
      </c>
      <c r="D32" s="85">
        <v>10993.01</v>
      </c>
      <c r="E32" s="85">
        <v>0</v>
      </c>
      <c r="F32" s="85">
        <v>2816.74</v>
      </c>
      <c r="G32" s="1"/>
      <c r="H32" s="1"/>
      <c r="I32" s="1"/>
      <c r="J32" s="1"/>
      <c r="K32" s="1">
        <v>16</v>
      </c>
      <c r="L32" s="1">
        <v>12</v>
      </c>
      <c r="M32" s="1"/>
      <c r="N32" s="1"/>
      <c r="O32" s="1"/>
      <c r="P32" s="1"/>
      <c r="Q32" s="1"/>
      <c r="R32" s="86">
        <f t="shared" si="1"/>
        <v>28</v>
      </c>
      <c r="S32" s="94">
        <f t="shared" si="2"/>
        <v>392.60750000000002</v>
      </c>
      <c r="T32" s="85">
        <f>$S$32*G32</f>
        <v>0</v>
      </c>
      <c r="U32" s="85">
        <f t="shared" ref="U32:AD32" si="31">$S$32*H32</f>
        <v>0</v>
      </c>
      <c r="V32" s="85">
        <f t="shared" si="31"/>
        <v>0</v>
      </c>
      <c r="W32" s="85">
        <f t="shared" si="31"/>
        <v>0</v>
      </c>
      <c r="X32" s="85">
        <f t="shared" si="31"/>
        <v>6281.72</v>
      </c>
      <c r="Y32" s="85">
        <f t="shared" si="31"/>
        <v>4711.29</v>
      </c>
      <c r="Z32" s="85">
        <f t="shared" si="31"/>
        <v>0</v>
      </c>
      <c r="AA32" s="85">
        <f t="shared" si="31"/>
        <v>0</v>
      </c>
      <c r="AB32" s="85">
        <f t="shared" si="31"/>
        <v>0</v>
      </c>
      <c r="AC32" s="85">
        <f t="shared" si="31"/>
        <v>0</v>
      </c>
      <c r="AD32" s="85">
        <f t="shared" si="31"/>
        <v>0</v>
      </c>
      <c r="AE32" s="94">
        <f t="shared" si="4"/>
        <v>10993.01</v>
      </c>
      <c r="AF32" s="92">
        <f>D32</f>
        <v>10993.01</v>
      </c>
      <c r="AG32" s="94">
        <f>AE32-AF32</f>
        <v>0</v>
      </c>
    </row>
    <row r="33" spans="1:33" x14ac:dyDescent="0.25">
      <c r="A33" s="1">
        <v>31</v>
      </c>
      <c r="B33" s="1" t="s">
        <v>161</v>
      </c>
      <c r="C33" s="1"/>
      <c r="D33" s="85">
        <v>0</v>
      </c>
      <c r="E33" s="85">
        <v>2274.0700000000002</v>
      </c>
      <c r="F33" s="85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86">
        <f t="shared" si="1"/>
        <v>0</v>
      </c>
      <c r="S33" s="94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94">
        <f t="shared" si="4"/>
        <v>0</v>
      </c>
    </row>
    <row r="34" spans="1:33" x14ac:dyDescent="0.25">
      <c r="A34" s="1">
        <v>32</v>
      </c>
      <c r="B34" s="1" t="s">
        <v>168</v>
      </c>
      <c r="C34" s="1"/>
      <c r="D34" s="85">
        <v>0</v>
      </c>
      <c r="E34" s="85">
        <v>1731.49</v>
      </c>
      <c r="F34" s="85"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6">
        <f t="shared" si="1"/>
        <v>0</v>
      </c>
      <c r="S34" s="94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94">
        <f t="shared" si="4"/>
        <v>0</v>
      </c>
    </row>
    <row r="35" spans="1:33" x14ac:dyDescent="0.25">
      <c r="A35" s="1">
        <v>33</v>
      </c>
      <c r="B35" s="1" t="s">
        <v>182</v>
      </c>
      <c r="C35" s="1"/>
      <c r="D35" s="85">
        <v>2829.61</v>
      </c>
      <c r="E35" s="85">
        <v>0</v>
      </c>
      <c r="F35" s="85">
        <v>0</v>
      </c>
      <c r="G35" s="1"/>
      <c r="H35" s="1"/>
      <c r="I35" s="1">
        <v>8</v>
      </c>
      <c r="J35" s="1"/>
      <c r="K35" s="1"/>
      <c r="L35" s="1"/>
      <c r="M35" s="1"/>
      <c r="N35" s="1"/>
      <c r="O35" s="1"/>
      <c r="P35" s="1"/>
      <c r="Q35" s="1"/>
      <c r="R35" s="86">
        <f t="shared" si="1"/>
        <v>8</v>
      </c>
      <c r="S35" s="94">
        <f t="shared" si="2"/>
        <v>353.70125000000002</v>
      </c>
      <c r="T35" s="85">
        <f>$S$35*G35</f>
        <v>0</v>
      </c>
      <c r="U35" s="85">
        <f t="shared" ref="U35:AD35" si="32">$S$35*H35</f>
        <v>0</v>
      </c>
      <c r="V35" s="85">
        <f t="shared" si="32"/>
        <v>2829.61</v>
      </c>
      <c r="W35" s="85">
        <f t="shared" si="32"/>
        <v>0</v>
      </c>
      <c r="X35" s="85">
        <f t="shared" si="32"/>
        <v>0</v>
      </c>
      <c r="Y35" s="85">
        <f t="shared" si="32"/>
        <v>0</v>
      </c>
      <c r="Z35" s="85">
        <f t="shared" si="32"/>
        <v>0</v>
      </c>
      <c r="AA35" s="85">
        <f t="shared" si="32"/>
        <v>0</v>
      </c>
      <c r="AB35" s="85">
        <f t="shared" si="32"/>
        <v>0</v>
      </c>
      <c r="AC35" s="85">
        <f t="shared" si="32"/>
        <v>0</v>
      </c>
      <c r="AD35" s="85">
        <f t="shared" si="32"/>
        <v>0</v>
      </c>
      <c r="AE35" s="94">
        <f t="shared" si="4"/>
        <v>2829.61</v>
      </c>
      <c r="AF35" s="92">
        <f t="shared" ref="AF35:AF36" si="33">D35</f>
        <v>2829.61</v>
      </c>
      <c r="AG35" s="94">
        <f t="shared" ref="AG35:AG36" si="34">AE35-AF35</f>
        <v>0</v>
      </c>
    </row>
    <row r="36" spans="1:33" x14ac:dyDescent="0.25">
      <c r="A36" s="1">
        <v>34</v>
      </c>
      <c r="B36" s="1" t="s">
        <v>140</v>
      </c>
      <c r="C36" s="1"/>
      <c r="D36" s="85">
        <v>6879.02</v>
      </c>
      <c r="E36" s="85">
        <v>0</v>
      </c>
      <c r="F36" s="85">
        <v>0</v>
      </c>
      <c r="G36" s="1"/>
      <c r="H36" s="1"/>
      <c r="I36" s="1"/>
      <c r="J36" s="1"/>
      <c r="K36" s="1">
        <v>12</v>
      </c>
      <c r="L36" s="1">
        <v>8</v>
      </c>
      <c r="M36" s="1"/>
      <c r="N36" s="1"/>
      <c r="O36" s="1"/>
      <c r="P36" s="1"/>
      <c r="Q36" s="1"/>
      <c r="R36" s="86">
        <f t="shared" si="1"/>
        <v>20</v>
      </c>
      <c r="S36" s="94">
        <f t="shared" si="2"/>
        <v>343.95100000000002</v>
      </c>
      <c r="T36" s="85">
        <f>$S$36*G36</f>
        <v>0</v>
      </c>
      <c r="U36" s="85">
        <f t="shared" ref="U36:AD36" si="35">$S$36*H36</f>
        <v>0</v>
      </c>
      <c r="V36" s="85">
        <f t="shared" si="35"/>
        <v>0</v>
      </c>
      <c r="W36" s="85">
        <f t="shared" si="35"/>
        <v>0</v>
      </c>
      <c r="X36" s="85">
        <f t="shared" si="35"/>
        <v>4127.4120000000003</v>
      </c>
      <c r="Y36" s="85">
        <f t="shared" si="35"/>
        <v>2751.6080000000002</v>
      </c>
      <c r="Z36" s="85">
        <f t="shared" si="35"/>
        <v>0</v>
      </c>
      <c r="AA36" s="85">
        <f t="shared" si="35"/>
        <v>0</v>
      </c>
      <c r="AB36" s="85">
        <f t="shared" si="35"/>
        <v>0</v>
      </c>
      <c r="AC36" s="85">
        <f t="shared" si="35"/>
        <v>0</v>
      </c>
      <c r="AD36" s="85">
        <f t="shared" si="35"/>
        <v>0</v>
      </c>
      <c r="AE36" s="94">
        <f t="shared" si="4"/>
        <v>6879.02</v>
      </c>
      <c r="AF36" s="92">
        <f t="shared" si="33"/>
        <v>6879.02</v>
      </c>
      <c r="AG36" s="94">
        <f t="shared" si="34"/>
        <v>0</v>
      </c>
    </row>
    <row r="37" spans="1:33" x14ac:dyDescent="0.25">
      <c r="A37" s="1">
        <v>35</v>
      </c>
      <c r="B37" s="1" t="s">
        <v>154</v>
      </c>
      <c r="C37" s="1"/>
      <c r="D37" s="85">
        <v>0</v>
      </c>
      <c r="E37" s="85">
        <v>1591.57</v>
      </c>
      <c r="F37" s="85"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6">
        <f t="shared" si="1"/>
        <v>0</v>
      </c>
      <c r="S37" s="94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94">
        <f t="shared" si="4"/>
        <v>0</v>
      </c>
    </row>
    <row r="38" spans="1:33" x14ac:dyDescent="0.25">
      <c r="A38" s="1">
        <v>36</v>
      </c>
      <c r="B38" s="1" t="s">
        <v>159</v>
      </c>
      <c r="C38" s="1"/>
      <c r="D38" s="85">
        <v>0</v>
      </c>
      <c r="E38" s="85">
        <v>2243.67</v>
      </c>
      <c r="F38" s="85"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86">
        <f t="shared" si="1"/>
        <v>0</v>
      </c>
      <c r="S38" s="9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94">
        <f t="shared" si="4"/>
        <v>0</v>
      </c>
    </row>
    <row r="39" spans="1:33" x14ac:dyDescent="0.25">
      <c r="A39" s="1">
        <v>37</v>
      </c>
      <c r="B39" s="1" t="s">
        <v>152</v>
      </c>
      <c r="C39" s="1"/>
      <c r="D39" s="85">
        <v>5046.58</v>
      </c>
      <c r="E39" s="85">
        <v>0</v>
      </c>
      <c r="F39" s="85">
        <v>0</v>
      </c>
      <c r="G39" s="1"/>
      <c r="H39" s="1"/>
      <c r="I39" s="1"/>
      <c r="J39" s="1"/>
      <c r="K39" s="1"/>
      <c r="L39" s="1"/>
      <c r="M39" s="1">
        <v>14</v>
      </c>
      <c r="N39" s="1"/>
      <c r="O39" s="1"/>
      <c r="P39" s="1"/>
      <c r="Q39" s="1"/>
      <c r="R39" s="86">
        <f t="shared" si="1"/>
        <v>14</v>
      </c>
      <c r="S39" s="94">
        <f t="shared" si="2"/>
        <v>360.46999999999997</v>
      </c>
      <c r="T39" s="85">
        <f>$S$39*G39</f>
        <v>0</v>
      </c>
      <c r="U39" s="85">
        <f t="shared" ref="U39:AD39" si="36">$S$39*H39</f>
        <v>0</v>
      </c>
      <c r="V39" s="85">
        <f t="shared" si="36"/>
        <v>0</v>
      </c>
      <c r="W39" s="85">
        <f t="shared" si="36"/>
        <v>0</v>
      </c>
      <c r="X39" s="85">
        <f t="shared" si="36"/>
        <v>0</v>
      </c>
      <c r="Y39" s="85">
        <f t="shared" si="36"/>
        <v>0</v>
      </c>
      <c r="Z39" s="85">
        <f t="shared" si="36"/>
        <v>5046.58</v>
      </c>
      <c r="AA39" s="85">
        <f t="shared" si="36"/>
        <v>0</v>
      </c>
      <c r="AB39" s="85">
        <f t="shared" si="36"/>
        <v>0</v>
      </c>
      <c r="AC39" s="85">
        <f t="shared" si="36"/>
        <v>0</v>
      </c>
      <c r="AD39" s="85">
        <f t="shared" si="36"/>
        <v>0</v>
      </c>
      <c r="AE39" s="94">
        <f t="shared" si="4"/>
        <v>5046.58</v>
      </c>
      <c r="AF39" s="92">
        <f t="shared" ref="AF39:AF42" si="37">D39</f>
        <v>5046.58</v>
      </c>
      <c r="AG39" s="94">
        <f t="shared" ref="AG39:AG42" si="38">AE39-AF39</f>
        <v>0</v>
      </c>
    </row>
    <row r="40" spans="1:33" x14ac:dyDescent="0.25">
      <c r="A40" s="1">
        <v>38</v>
      </c>
      <c r="B40" s="1" t="s">
        <v>109</v>
      </c>
      <c r="C40" s="1" t="s">
        <v>132</v>
      </c>
      <c r="D40" s="85">
        <v>7143.01</v>
      </c>
      <c r="E40" s="85">
        <v>0</v>
      </c>
      <c r="F40" s="85">
        <v>2816.74</v>
      </c>
      <c r="G40" s="1"/>
      <c r="H40" s="1"/>
      <c r="I40" s="1"/>
      <c r="J40" s="1"/>
      <c r="K40" s="1"/>
      <c r="L40" s="1"/>
      <c r="M40" s="1">
        <v>24</v>
      </c>
      <c r="N40" s="1"/>
      <c r="O40" s="1"/>
      <c r="P40" s="1"/>
      <c r="Q40" s="1"/>
      <c r="R40" s="86">
        <f t="shared" si="1"/>
        <v>24</v>
      </c>
      <c r="S40" s="94">
        <f t="shared" si="2"/>
        <v>297.62541666666669</v>
      </c>
      <c r="T40" s="85">
        <f>$S$40*G40</f>
        <v>0</v>
      </c>
      <c r="U40" s="85">
        <f t="shared" ref="U40:AD40" si="39">$S$40*H40</f>
        <v>0</v>
      </c>
      <c r="V40" s="85">
        <f t="shared" si="39"/>
        <v>0</v>
      </c>
      <c r="W40" s="85">
        <f t="shared" si="39"/>
        <v>0</v>
      </c>
      <c r="X40" s="85">
        <f t="shared" si="39"/>
        <v>0</v>
      </c>
      <c r="Y40" s="85">
        <f t="shared" si="39"/>
        <v>0</v>
      </c>
      <c r="Z40" s="85">
        <f t="shared" si="39"/>
        <v>7143.01</v>
      </c>
      <c r="AA40" s="85">
        <f t="shared" si="39"/>
        <v>0</v>
      </c>
      <c r="AB40" s="85">
        <f t="shared" si="39"/>
        <v>0</v>
      </c>
      <c r="AC40" s="85">
        <f t="shared" si="39"/>
        <v>0</v>
      </c>
      <c r="AD40" s="85">
        <f t="shared" si="39"/>
        <v>0</v>
      </c>
      <c r="AE40" s="94">
        <f t="shared" si="4"/>
        <v>7143.01</v>
      </c>
      <c r="AF40" s="92">
        <f t="shared" si="37"/>
        <v>7143.01</v>
      </c>
      <c r="AG40" s="94">
        <f t="shared" si="38"/>
        <v>0</v>
      </c>
    </row>
    <row r="41" spans="1:33" x14ac:dyDescent="0.25">
      <c r="A41" s="1">
        <v>39</v>
      </c>
      <c r="B41" s="1" t="s">
        <v>146</v>
      </c>
      <c r="C41" s="1"/>
      <c r="D41" s="85">
        <v>3884.55</v>
      </c>
      <c r="E41" s="85">
        <v>0</v>
      </c>
      <c r="F41" s="85">
        <v>0</v>
      </c>
      <c r="G41" s="1">
        <v>6</v>
      </c>
      <c r="H41" s="1">
        <v>2</v>
      </c>
      <c r="I41" s="1"/>
      <c r="J41" s="1">
        <v>2</v>
      </c>
      <c r="K41" s="1"/>
      <c r="L41" s="1"/>
      <c r="M41" s="1">
        <v>2</v>
      </c>
      <c r="N41" s="1"/>
      <c r="O41" s="1"/>
      <c r="P41" s="1"/>
      <c r="Q41" s="1"/>
      <c r="R41" s="86">
        <f t="shared" si="1"/>
        <v>12</v>
      </c>
      <c r="S41" s="94">
        <f t="shared" si="2"/>
        <v>323.71250000000003</v>
      </c>
      <c r="T41" s="85">
        <f>$S$41*G41</f>
        <v>1942.2750000000001</v>
      </c>
      <c r="U41" s="85">
        <f t="shared" ref="U41:AD41" si="40">$S$41*H41</f>
        <v>647.42500000000007</v>
      </c>
      <c r="V41" s="85">
        <f t="shared" si="40"/>
        <v>0</v>
      </c>
      <c r="W41" s="85">
        <f t="shared" si="40"/>
        <v>647.42500000000007</v>
      </c>
      <c r="X41" s="85">
        <f t="shared" si="40"/>
        <v>0</v>
      </c>
      <c r="Y41" s="85">
        <f t="shared" si="40"/>
        <v>0</v>
      </c>
      <c r="Z41" s="85">
        <f t="shared" si="40"/>
        <v>647.42500000000007</v>
      </c>
      <c r="AA41" s="85">
        <f t="shared" si="40"/>
        <v>0</v>
      </c>
      <c r="AB41" s="85">
        <f t="shared" si="40"/>
        <v>0</v>
      </c>
      <c r="AC41" s="85">
        <f t="shared" si="40"/>
        <v>0</v>
      </c>
      <c r="AD41" s="85">
        <f t="shared" si="40"/>
        <v>0</v>
      </c>
      <c r="AE41" s="94">
        <f t="shared" si="4"/>
        <v>3884.5500000000006</v>
      </c>
      <c r="AF41" s="92">
        <f t="shared" si="37"/>
        <v>3884.55</v>
      </c>
      <c r="AG41" s="94">
        <f t="shared" si="38"/>
        <v>0</v>
      </c>
    </row>
    <row r="42" spans="1:33" x14ac:dyDescent="0.25">
      <c r="A42" s="1">
        <v>40</v>
      </c>
      <c r="B42" s="1" t="s">
        <v>183</v>
      </c>
      <c r="C42" s="1"/>
      <c r="D42" s="85">
        <v>7043.99</v>
      </c>
      <c r="E42" s="85">
        <v>0</v>
      </c>
      <c r="F42" s="85">
        <v>0</v>
      </c>
      <c r="G42" s="1"/>
      <c r="H42" s="1"/>
      <c r="I42" s="1"/>
      <c r="J42" s="1"/>
      <c r="K42" s="1">
        <v>10</v>
      </c>
      <c r="L42" s="1">
        <v>10</v>
      </c>
      <c r="M42" s="1"/>
      <c r="N42" s="1"/>
      <c r="O42" s="1"/>
      <c r="P42" s="1"/>
      <c r="Q42" s="1"/>
      <c r="R42" s="86">
        <f t="shared" si="1"/>
        <v>20</v>
      </c>
      <c r="S42" s="94">
        <f t="shared" si="2"/>
        <v>352.1995</v>
      </c>
      <c r="T42" s="85">
        <f>$S$42*G42</f>
        <v>0</v>
      </c>
      <c r="U42" s="85">
        <f t="shared" ref="U42:AD42" si="41">$S$42*H42</f>
        <v>0</v>
      </c>
      <c r="V42" s="85">
        <f t="shared" si="41"/>
        <v>0</v>
      </c>
      <c r="W42" s="85">
        <f t="shared" si="41"/>
        <v>0</v>
      </c>
      <c r="X42" s="85">
        <f t="shared" si="41"/>
        <v>3521.9949999999999</v>
      </c>
      <c r="Y42" s="85">
        <f t="shared" si="41"/>
        <v>3521.9949999999999</v>
      </c>
      <c r="Z42" s="85">
        <f t="shared" si="41"/>
        <v>0</v>
      </c>
      <c r="AA42" s="85">
        <f t="shared" si="41"/>
        <v>0</v>
      </c>
      <c r="AB42" s="85">
        <f t="shared" si="41"/>
        <v>0</v>
      </c>
      <c r="AC42" s="85">
        <f t="shared" si="41"/>
        <v>0</v>
      </c>
      <c r="AD42" s="85">
        <f t="shared" si="41"/>
        <v>0</v>
      </c>
      <c r="AE42" s="94">
        <f t="shared" si="4"/>
        <v>7043.99</v>
      </c>
      <c r="AF42" s="92">
        <f t="shared" si="37"/>
        <v>7043.99</v>
      </c>
      <c r="AG42" s="94">
        <f t="shared" si="38"/>
        <v>0</v>
      </c>
    </row>
    <row r="43" spans="1:33" x14ac:dyDescent="0.25">
      <c r="A43" s="1">
        <v>41</v>
      </c>
      <c r="B43" s="1" t="s">
        <v>116</v>
      </c>
      <c r="C43" s="1"/>
      <c r="D43" s="85">
        <v>0</v>
      </c>
      <c r="E43" s="85">
        <v>1795.2</v>
      </c>
      <c r="F43" s="85"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6">
        <f t="shared" si="1"/>
        <v>0</v>
      </c>
      <c r="S43" s="94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94">
        <f t="shared" si="4"/>
        <v>0</v>
      </c>
    </row>
    <row r="44" spans="1:33" x14ac:dyDescent="0.25">
      <c r="A44" s="1">
        <v>42</v>
      </c>
      <c r="B44" s="1" t="s">
        <v>157</v>
      </c>
      <c r="C44" s="1"/>
      <c r="D44" s="85">
        <v>0</v>
      </c>
      <c r="E44" s="85">
        <v>1730.04</v>
      </c>
      <c r="F44" s="89"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86">
        <f t="shared" si="1"/>
        <v>0</v>
      </c>
      <c r="S44" s="94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94">
        <f t="shared" si="4"/>
        <v>0</v>
      </c>
    </row>
    <row r="45" spans="1:33" x14ac:dyDescent="0.25">
      <c r="A45" s="1">
        <v>43</v>
      </c>
      <c r="B45" s="1" t="s">
        <v>184</v>
      </c>
      <c r="C45" s="1"/>
      <c r="D45" s="85">
        <v>2339.96</v>
      </c>
      <c r="E45" s="85">
        <v>0</v>
      </c>
      <c r="F45" s="85">
        <v>0</v>
      </c>
      <c r="G45" s="1"/>
      <c r="H45" s="1"/>
      <c r="I45" s="1"/>
      <c r="J45" s="1">
        <v>8</v>
      </c>
      <c r="K45" s="1"/>
      <c r="L45" s="1"/>
      <c r="M45" s="1"/>
      <c r="N45" s="1"/>
      <c r="O45" s="1"/>
      <c r="P45" s="1"/>
      <c r="Q45" s="1"/>
      <c r="R45" s="86">
        <f t="shared" si="1"/>
        <v>8</v>
      </c>
      <c r="S45" s="94">
        <f t="shared" si="2"/>
        <v>292.495</v>
      </c>
      <c r="T45" s="85">
        <f>$S$45*G45</f>
        <v>0</v>
      </c>
      <c r="U45" s="85">
        <f t="shared" ref="U45:AD45" si="42">$S$45*H45</f>
        <v>0</v>
      </c>
      <c r="V45" s="85">
        <f t="shared" si="42"/>
        <v>0</v>
      </c>
      <c r="W45" s="85">
        <f t="shared" si="42"/>
        <v>2339.96</v>
      </c>
      <c r="X45" s="85">
        <f t="shared" si="42"/>
        <v>0</v>
      </c>
      <c r="Y45" s="85">
        <f t="shared" si="42"/>
        <v>0</v>
      </c>
      <c r="Z45" s="85">
        <f t="shared" si="42"/>
        <v>0</v>
      </c>
      <c r="AA45" s="85">
        <f t="shared" si="42"/>
        <v>0</v>
      </c>
      <c r="AB45" s="85">
        <f t="shared" si="42"/>
        <v>0</v>
      </c>
      <c r="AC45" s="85">
        <f t="shared" si="42"/>
        <v>0</v>
      </c>
      <c r="AD45" s="85">
        <f t="shared" si="42"/>
        <v>0</v>
      </c>
      <c r="AE45" s="94">
        <f t="shared" si="4"/>
        <v>2339.96</v>
      </c>
      <c r="AF45" s="92">
        <f t="shared" ref="AF45:AF47" si="43">D45</f>
        <v>2339.96</v>
      </c>
      <c r="AG45" s="94">
        <f t="shared" ref="AG45:AG47" si="44">AE45-AF45</f>
        <v>0</v>
      </c>
    </row>
    <row r="46" spans="1:33" x14ac:dyDescent="0.25">
      <c r="A46" s="1">
        <v>44</v>
      </c>
      <c r="B46" s="1" t="s">
        <v>187</v>
      </c>
      <c r="C46" s="1"/>
      <c r="D46" s="85">
        <v>3722.63</v>
      </c>
      <c r="E46" s="85">
        <v>0</v>
      </c>
      <c r="F46" s="85">
        <v>0</v>
      </c>
      <c r="G46" s="1"/>
      <c r="H46" s="1"/>
      <c r="I46" s="1"/>
      <c r="J46" s="1"/>
      <c r="K46" s="1"/>
      <c r="L46" s="1"/>
      <c r="M46" s="1">
        <v>12</v>
      </c>
      <c r="N46" s="1"/>
      <c r="O46" s="1"/>
      <c r="P46" s="1"/>
      <c r="Q46" s="1"/>
      <c r="R46" s="86">
        <f t="shared" si="1"/>
        <v>12</v>
      </c>
      <c r="S46" s="94">
        <f t="shared" si="2"/>
        <v>310.21916666666669</v>
      </c>
      <c r="T46" s="85">
        <f>$S$46*G46</f>
        <v>0</v>
      </c>
      <c r="U46" s="85">
        <f t="shared" ref="U46:AD46" si="45">$S$46*H46</f>
        <v>0</v>
      </c>
      <c r="V46" s="85">
        <f t="shared" si="45"/>
        <v>0</v>
      </c>
      <c r="W46" s="85">
        <f t="shared" si="45"/>
        <v>0</v>
      </c>
      <c r="X46" s="85">
        <f t="shared" si="45"/>
        <v>0</v>
      </c>
      <c r="Y46" s="85">
        <f t="shared" si="45"/>
        <v>0</v>
      </c>
      <c r="Z46" s="85">
        <f t="shared" si="45"/>
        <v>3722.63</v>
      </c>
      <c r="AA46" s="85">
        <f t="shared" si="45"/>
        <v>0</v>
      </c>
      <c r="AB46" s="85">
        <f t="shared" si="45"/>
        <v>0</v>
      </c>
      <c r="AC46" s="85">
        <f t="shared" si="45"/>
        <v>0</v>
      </c>
      <c r="AD46" s="85">
        <f t="shared" si="45"/>
        <v>0</v>
      </c>
      <c r="AE46" s="94">
        <f t="shared" si="4"/>
        <v>3722.63</v>
      </c>
      <c r="AF46" s="92">
        <f t="shared" si="43"/>
        <v>3722.63</v>
      </c>
      <c r="AG46" s="94">
        <f t="shared" si="44"/>
        <v>0</v>
      </c>
    </row>
    <row r="47" spans="1:33" x14ac:dyDescent="0.25">
      <c r="A47" s="1">
        <v>45</v>
      </c>
      <c r="B47" s="1" t="s">
        <v>102</v>
      </c>
      <c r="C47" s="1"/>
      <c r="D47" s="85">
        <v>6522.81</v>
      </c>
      <c r="E47" s="85">
        <v>0</v>
      </c>
      <c r="F47" s="85">
        <v>0</v>
      </c>
      <c r="G47" s="1">
        <v>4</v>
      </c>
      <c r="H47" s="1">
        <v>2</v>
      </c>
      <c r="I47" s="1"/>
      <c r="J47" s="1"/>
      <c r="K47" s="1">
        <v>6</v>
      </c>
      <c r="L47" s="1">
        <v>6</v>
      </c>
      <c r="M47" s="1">
        <v>2</v>
      </c>
      <c r="N47" s="1"/>
      <c r="O47" s="1"/>
      <c r="P47" s="1"/>
      <c r="Q47" s="1"/>
      <c r="R47" s="86">
        <f t="shared" si="1"/>
        <v>20</v>
      </c>
      <c r="S47" s="94">
        <f t="shared" si="2"/>
        <v>326.14050000000003</v>
      </c>
      <c r="T47" s="85">
        <f>$S$47*G47</f>
        <v>1304.5620000000001</v>
      </c>
      <c r="U47" s="85">
        <f t="shared" ref="U47:AD47" si="46">$S$47*H47</f>
        <v>652.28100000000006</v>
      </c>
      <c r="V47" s="85">
        <f t="shared" si="46"/>
        <v>0</v>
      </c>
      <c r="W47" s="85">
        <f t="shared" si="46"/>
        <v>0</v>
      </c>
      <c r="X47" s="85">
        <f t="shared" si="46"/>
        <v>1956.8430000000003</v>
      </c>
      <c r="Y47" s="85">
        <f t="shared" si="46"/>
        <v>1956.8430000000003</v>
      </c>
      <c r="Z47" s="85">
        <f t="shared" si="46"/>
        <v>652.28100000000006</v>
      </c>
      <c r="AA47" s="85">
        <f t="shared" si="46"/>
        <v>0</v>
      </c>
      <c r="AB47" s="85">
        <f t="shared" si="46"/>
        <v>0</v>
      </c>
      <c r="AC47" s="85">
        <f t="shared" si="46"/>
        <v>0</v>
      </c>
      <c r="AD47" s="85">
        <f t="shared" si="46"/>
        <v>0</v>
      </c>
      <c r="AE47" s="94">
        <f t="shared" si="4"/>
        <v>6522.81</v>
      </c>
      <c r="AF47" s="92">
        <f t="shared" si="43"/>
        <v>6522.81</v>
      </c>
      <c r="AG47" s="94">
        <f t="shared" si="44"/>
        <v>0</v>
      </c>
    </row>
    <row r="48" spans="1:33" x14ac:dyDescent="0.25">
      <c r="A48" s="1">
        <v>46</v>
      </c>
      <c r="B48" s="1" t="s">
        <v>117</v>
      </c>
      <c r="C48" s="1"/>
      <c r="D48" s="85">
        <v>0</v>
      </c>
      <c r="E48" s="85">
        <v>1536.33</v>
      </c>
      <c r="F48" s="85"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86">
        <f t="shared" si="1"/>
        <v>0</v>
      </c>
      <c r="S48" s="94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94">
        <f t="shared" si="4"/>
        <v>0</v>
      </c>
    </row>
    <row r="49" spans="1:33" x14ac:dyDescent="0.25">
      <c r="A49" s="1">
        <v>47</v>
      </c>
      <c r="B49" s="1" t="s">
        <v>106</v>
      </c>
      <c r="C49" s="1" t="s">
        <v>129</v>
      </c>
      <c r="D49" s="85">
        <v>5348.26</v>
      </c>
      <c r="E49" s="85">
        <v>0</v>
      </c>
      <c r="F49" s="85">
        <v>2557.59</v>
      </c>
      <c r="G49" s="1">
        <v>4</v>
      </c>
      <c r="H49" s="1">
        <v>2</v>
      </c>
      <c r="I49" s="1"/>
      <c r="J49" s="1">
        <v>12</v>
      </c>
      <c r="K49" s="1"/>
      <c r="L49" s="1"/>
      <c r="M49" s="1"/>
      <c r="N49" s="1"/>
      <c r="O49" s="1"/>
      <c r="P49" s="1"/>
      <c r="Q49" s="1"/>
      <c r="R49" s="86">
        <f t="shared" si="1"/>
        <v>18</v>
      </c>
      <c r="S49" s="94">
        <f t="shared" si="2"/>
        <v>297.12555555555559</v>
      </c>
      <c r="T49" s="85">
        <f>$S$49*G49</f>
        <v>1188.5022222222224</v>
      </c>
      <c r="U49" s="85">
        <f t="shared" ref="U49:AD49" si="47">$S$49*H49</f>
        <v>594.25111111111119</v>
      </c>
      <c r="V49" s="85">
        <f t="shared" si="47"/>
        <v>0</v>
      </c>
      <c r="W49" s="85">
        <f t="shared" si="47"/>
        <v>3565.5066666666671</v>
      </c>
      <c r="X49" s="85">
        <f t="shared" si="47"/>
        <v>0</v>
      </c>
      <c r="Y49" s="85">
        <f t="shared" si="47"/>
        <v>0</v>
      </c>
      <c r="Z49" s="85">
        <f t="shared" si="47"/>
        <v>0</v>
      </c>
      <c r="AA49" s="85">
        <f t="shared" si="47"/>
        <v>0</v>
      </c>
      <c r="AB49" s="85">
        <f t="shared" si="47"/>
        <v>0</v>
      </c>
      <c r="AC49" s="85">
        <f t="shared" si="47"/>
        <v>0</v>
      </c>
      <c r="AD49" s="85">
        <f t="shared" si="47"/>
        <v>0</v>
      </c>
      <c r="AE49" s="94">
        <f t="shared" si="4"/>
        <v>5348.26</v>
      </c>
      <c r="AF49" s="92">
        <f t="shared" ref="AF49:AF51" si="48">D49</f>
        <v>5348.26</v>
      </c>
      <c r="AG49" s="94">
        <f t="shared" ref="AG49:AG51" si="49">AE49-AF49</f>
        <v>0</v>
      </c>
    </row>
    <row r="50" spans="1:33" x14ac:dyDescent="0.25">
      <c r="A50" s="1">
        <v>48</v>
      </c>
      <c r="B50" s="1" t="s">
        <v>147</v>
      </c>
      <c r="C50" s="1"/>
      <c r="D50" s="85">
        <v>2566.8200000000002</v>
      </c>
      <c r="E50" s="85">
        <v>0</v>
      </c>
      <c r="F50" s="85">
        <v>0</v>
      </c>
      <c r="G50" s="1">
        <v>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86">
        <f t="shared" si="1"/>
        <v>8</v>
      </c>
      <c r="S50" s="94">
        <f t="shared" si="2"/>
        <v>320.85250000000002</v>
      </c>
      <c r="T50" s="85">
        <f>$S$50*G50</f>
        <v>2566.8200000000002</v>
      </c>
      <c r="U50" s="85">
        <f t="shared" ref="U50:AD50" si="50">$S$50*H50</f>
        <v>0</v>
      </c>
      <c r="V50" s="85">
        <f t="shared" si="50"/>
        <v>0</v>
      </c>
      <c r="W50" s="85">
        <f t="shared" si="50"/>
        <v>0</v>
      </c>
      <c r="X50" s="85">
        <f t="shared" si="50"/>
        <v>0</v>
      </c>
      <c r="Y50" s="85">
        <f t="shared" si="50"/>
        <v>0</v>
      </c>
      <c r="Z50" s="85">
        <f t="shared" si="50"/>
        <v>0</v>
      </c>
      <c r="AA50" s="85">
        <f t="shared" si="50"/>
        <v>0</v>
      </c>
      <c r="AB50" s="85">
        <f t="shared" si="50"/>
        <v>0</v>
      </c>
      <c r="AC50" s="85">
        <f t="shared" si="50"/>
        <v>0</v>
      </c>
      <c r="AD50" s="85">
        <f t="shared" si="50"/>
        <v>0</v>
      </c>
      <c r="AE50" s="94">
        <f t="shared" si="4"/>
        <v>2566.8200000000002</v>
      </c>
      <c r="AF50" s="92">
        <f t="shared" si="48"/>
        <v>2566.8200000000002</v>
      </c>
      <c r="AG50" s="94">
        <f t="shared" si="49"/>
        <v>0</v>
      </c>
    </row>
    <row r="51" spans="1:33" x14ac:dyDescent="0.25">
      <c r="A51" s="1">
        <v>49</v>
      </c>
      <c r="B51" s="1" t="s">
        <v>186</v>
      </c>
      <c r="C51" s="1"/>
      <c r="D51" s="85">
        <v>2494.79</v>
      </c>
      <c r="E51" s="85">
        <v>0</v>
      </c>
      <c r="F51" s="85">
        <v>0</v>
      </c>
      <c r="G51" s="1"/>
      <c r="H51" s="1"/>
      <c r="I51" s="1"/>
      <c r="J51" s="1"/>
      <c r="K51" s="1"/>
      <c r="L51" s="1"/>
      <c r="M51" s="1">
        <v>8</v>
      </c>
      <c r="N51" s="1"/>
      <c r="O51" s="1"/>
      <c r="P51" s="1"/>
      <c r="Q51" s="1"/>
      <c r="R51" s="86">
        <f t="shared" si="1"/>
        <v>8</v>
      </c>
      <c r="S51" s="94">
        <f t="shared" si="2"/>
        <v>311.84875</v>
      </c>
      <c r="T51" s="85">
        <f>$S$51*G51</f>
        <v>0</v>
      </c>
      <c r="U51" s="85">
        <f t="shared" ref="U51:AD51" si="51">$S$51*H51</f>
        <v>0</v>
      </c>
      <c r="V51" s="85">
        <f t="shared" si="51"/>
        <v>0</v>
      </c>
      <c r="W51" s="85">
        <f t="shared" si="51"/>
        <v>0</v>
      </c>
      <c r="X51" s="85">
        <f t="shared" si="51"/>
        <v>0</v>
      </c>
      <c r="Y51" s="85">
        <f t="shared" si="51"/>
        <v>0</v>
      </c>
      <c r="Z51" s="85">
        <f t="shared" si="51"/>
        <v>2494.79</v>
      </c>
      <c r="AA51" s="85">
        <f t="shared" si="51"/>
        <v>0</v>
      </c>
      <c r="AB51" s="85">
        <f t="shared" si="51"/>
        <v>0</v>
      </c>
      <c r="AC51" s="85">
        <f t="shared" si="51"/>
        <v>0</v>
      </c>
      <c r="AD51" s="85">
        <f t="shared" si="51"/>
        <v>0</v>
      </c>
      <c r="AE51" s="94">
        <f t="shared" si="4"/>
        <v>2494.79</v>
      </c>
      <c r="AF51" s="92">
        <f t="shared" si="48"/>
        <v>2494.79</v>
      </c>
      <c r="AG51" s="94">
        <f t="shared" si="49"/>
        <v>0</v>
      </c>
    </row>
    <row r="52" spans="1:33" x14ac:dyDescent="0.25">
      <c r="A52" s="1">
        <v>50</v>
      </c>
      <c r="B52" s="1" t="s">
        <v>100</v>
      </c>
      <c r="C52" s="1"/>
      <c r="D52" s="85">
        <v>0</v>
      </c>
      <c r="E52" s="85">
        <v>2655.97</v>
      </c>
      <c r="F52" s="85"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86">
        <f t="shared" si="1"/>
        <v>0</v>
      </c>
      <c r="S52" s="94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94">
        <f t="shared" si="4"/>
        <v>0</v>
      </c>
    </row>
    <row r="53" spans="1:33" x14ac:dyDescent="0.25">
      <c r="A53" s="1">
        <v>51</v>
      </c>
      <c r="B53" s="1" t="s">
        <v>164</v>
      </c>
      <c r="C53" s="1"/>
      <c r="D53" s="85">
        <v>0</v>
      </c>
      <c r="E53" s="85">
        <v>2502.35</v>
      </c>
      <c r="F53" s="85"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86">
        <f t="shared" si="1"/>
        <v>0</v>
      </c>
      <c r="S53" s="94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94">
        <f t="shared" si="4"/>
        <v>0</v>
      </c>
    </row>
    <row r="54" spans="1:33" x14ac:dyDescent="0.25">
      <c r="A54" s="1">
        <v>52</v>
      </c>
      <c r="B54" s="1" t="s">
        <v>125</v>
      </c>
      <c r="C54" s="1"/>
      <c r="D54" s="85">
        <v>3289.08</v>
      </c>
      <c r="E54" s="85">
        <v>0</v>
      </c>
      <c r="F54" s="85">
        <v>0</v>
      </c>
      <c r="G54" s="1"/>
      <c r="H54" s="1"/>
      <c r="I54" s="1"/>
      <c r="J54" s="1">
        <v>10</v>
      </c>
      <c r="K54" s="1"/>
      <c r="L54" s="1"/>
      <c r="M54" s="1"/>
      <c r="N54" s="1"/>
      <c r="O54" s="1"/>
      <c r="P54" s="1"/>
      <c r="Q54" s="1"/>
      <c r="R54" s="86">
        <f t="shared" si="1"/>
        <v>10</v>
      </c>
      <c r="S54" s="94">
        <f t="shared" si="2"/>
        <v>328.90800000000002</v>
      </c>
      <c r="T54" s="85">
        <f>$S$54*G54</f>
        <v>0</v>
      </c>
      <c r="U54" s="85">
        <f t="shared" ref="U54:AD54" si="52">$S$54*H54</f>
        <v>0</v>
      </c>
      <c r="V54" s="85">
        <f t="shared" si="52"/>
        <v>0</v>
      </c>
      <c r="W54" s="85">
        <f t="shared" si="52"/>
        <v>3289.08</v>
      </c>
      <c r="X54" s="85">
        <f t="shared" si="52"/>
        <v>0</v>
      </c>
      <c r="Y54" s="85">
        <f t="shared" si="52"/>
        <v>0</v>
      </c>
      <c r="Z54" s="85">
        <f t="shared" si="52"/>
        <v>0</v>
      </c>
      <c r="AA54" s="85">
        <f t="shared" si="52"/>
        <v>0</v>
      </c>
      <c r="AB54" s="85">
        <f t="shared" si="52"/>
        <v>0</v>
      </c>
      <c r="AC54" s="85">
        <f t="shared" si="52"/>
        <v>0</v>
      </c>
      <c r="AD54" s="85">
        <f t="shared" si="52"/>
        <v>0</v>
      </c>
      <c r="AE54" s="94">
        <f t="shared" si="4"/>
        <v>3289.08</v>
      </c>
      <c r="AF54" s="92">
        <f t="shared" ref="AF54:AF55" si="53">D54</f>
        <v>3289.08</v>
      </c>
      <c r="AG54" s="94">
        <f t="shared" ref="AG54:AG55" si="54">AE54-AF54</f>
        <v>0</v>
      </c>
    </row>
    <row r="55" spans="1:33" x14ac:dyDescent="0.25">
      <c r="A55" s="1">
        <v>53</v>
      </c>
      <c r="B55" s="1" t="s">
        <v>110</v>
      </c>
      <c r="C55" s="1" t="s">
        <v>133</v>
      </c>
      <c r="D55" s="85">
        <v>2444.4699999999998</v>
      </c>
      <c r="E55" s="85">
        <v>0</v>
      </c>
      <c r="F55" s="85">
        <v>2816.74</v>
      </c>
      <c r="G55" s="1">
        <v>2</v>
      </c>
      <c r="H55" s="1"/>
      <c r="I55" s="1"/>
      <c r="J55" s="1"/>
      <c r="K55" s="1"/>
      <c r="L55" s="1"/>
      <c r="M55" s="1"/>
      <c r="N55" s="1">
        <v>2</v>
      </c>
      <c r="O55" s="1">
        <v>4</v>
      </c>
      <c r="P55" s="1"/>
      <c r="Q55" s="1"/>
      <c r="R55" s="86">
        <f t="shared" si="1"/>
        <v>8</v>
      </c>
      <c r="S55" s="94">
        <f t="shared" si="2"/>
        <v>305.55874999999997</v>
      </c>
      <c r="T55" s="85">
        <f>$S$55*G55</f>
        <v>611.11749999999995</v>
      </c>
      <c r="U55" s="85">
        <f t="shared" ref="U55:AD55" si="55">$S$55*H55</f>
        <v>0</v>
      </c>
      <c r="V55" s="85">
        <f t="shared" si="55"/>
        <v>0</v>
      </c>
      <c r="W55" s="85">
        <f t="shared" si="55"/>
        <v>0</v>
      </c>
      <c r="X55" s="85">
        <f t="shared" si="55"/>
        <v>0</v>
      </c>
      <c r="Y55" s="85">
        <f t="shared" si="55"/>
        <v>0</v>
      </c>
      <c r="Z55" s="85">
        <f t="shared" si="55"/>
        <v>0</v>
      </c>
      <c r="AA55" s="85">
        <f t="shared" si="55"/>
        <v>611.11749999999995</v>
      </c>
      <c r="AB55" s="85">
        <f t="shared" si="55"/>
        <v>1222.2349999999999</v>
      </c>
      <c r="AC55" s="85">
        <f t="shared" si="55"/>
        <v>0</v>
      </c>
      <c r="AD55" s="85">
        <f t="shared" si="55"/>
        <v>0</v>
      </c>
      <c r="AE55" s="94">
        <f t="shared" si="4"/>
        <v>2444.4699999999998</v>
      </c>
      <c r="AF55" s="92">
        <f t="shared" si="53"/>
        <v>2444.4699999999998</v>
      </c>
      <c r="AG55" s="94">
        <f t="shared" si="54"/>
        <v>0</v>
      </c>
    </row>
    <row r="56" spans="1:33" x14ac:dyDescent="0.25">
      <c r="A56" s="1">
        <v>54</v>
      </c>
      <c r="B56" s="1" t="s">
        <v>165</v>
      </c>
      <c r="C56" s="1"/>
      <c r="D56" s="85">
        <v>0</v>
      </c>
      <c r="E56" s="85">
        <v>3303.9</v>
      </c>
      <c r="F56" s="85"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86">
        <f t="shared" si="1"/>
        <v>0</v>
      </c>
      <c r="S56" s="9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94">
        <f t="shared" si="4"/>
        <v>0</v>
      </c>
    </row>
    <row r="57" spans="1:33" x14ac:dyDescent="0.25">
      <c r="A57" s="1">
        <v>55</v>
      </c>
      <c r="B57" s="1" t="s">
        <v>111</v>
      </c>
      <c r="C57" s="1" t="s">
        <v>134</v>
      </c>
      <c r="D57" s="85">
        <v>2922.89</v>
      </c>
      <c r="E57" s="85">
        <v>0</v>
      </c>
      <c r="F57" s="85">
        <v>2816.74</v>
      </c>
      <c r="G57" s="1"/>
      <c r="H57" s="1"/>
      <c r="I57" s="1">
        <v>8</v>
      </c>
      <c r="J57" s="1"/>
      <c r="K57" s="1"/>
      <c r="L57" s="1"/>
      <c r="M57" s="1"/>
      <c r="N57" s="1"/>
      <c r="O57" s="1"/>
      <c r="P57" s="1"/>
      <c r="Q57" s="1"/>
      <c r="R57" s="86">
        <f t="shared" si="1"/>
        <v>8</v>
      </c>
      <c r="S57" s="94">
        <f t="shared" si="2"/>
        <v>365.36124999999998</v>
      </c>
      <c r="T57" s="85">
        <f>$S$57*G57</f>
        <v>0</v>
      </c>
      <c r="U57" s="85">
        <f t="shared" ref="U57:AD57" si="56">$S$57*H57</f>
        <v>0</v>
      </c>
      <c r="V57" s="85">
        <f t="shared" si="56"/>
        <v>2922.89</v>
      </c>
      <c r="W57" s="85">
        <f t="shared" si="56"/>
        <v>0</v>
      </c>
      <c r="X57" s="85">
        <f t="shared" si="56"/>
        <v>0</v>
      </c>
      <c r="Y57" s="85">
        <f t="shared" si="56"/>
        <v>0</v>
      </c>
      <c r="Z57" s="85">
        <f t="shared" si="56"/>
        <v>0</v>
      </c>
      <c r="AA57" s="85">
        <f t="shared" si="56"/>
        <v>0</v>
      </c>
      <c r="AB57" s="85">
        <f t="shared" si="56"/>
        <v>0</v>
      </c>
      <c r="AC57" s="85">
        <f t="shared" si="56"/>
        <v>0</v>
      </c>
      <c r="AD57" s="85">
        <f t="shared" si="56"/>
        <v>0</v>
      </c>
      <c r="AE57" s="94">
        <f t="shared" si="4"/>
        <v>2922.89</v>
      </c>
      <c r="AF57" s="92">
        <f>D57</f>
        <v>2922.89</v>
      </c>
      <c r="AG57" s="94">
        <f>AE57-AF57</f>
        <v>0</v>
      </c>
    </row>
    <row r="58" spans="1:33" x14ac:dyDescent="0.25">
      <c r="A58" s="1">
        <v>56</v>
      </c>
      <c r="B58" s="1" t="s">
        <v>160</v>
      </c>
      <c r="C58" s="1"/>
      <c r="D58" s="85">
        <v>0</v>
      </c>
      <c r="E58" s="85">
        <v>2503.9899999999998</v>
      </c>
      <c r="F58" s="85"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86">
        <f t="shared" si="1"/>
        <v>0</v>
      </c>
      <c r="S58" s="94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94">
        <f t="shared" si="4"/>
        <v>0</v>
      </c>
    </row>
    <row r="59" spans="1:33" x14ac:dyDescent="0.25">
      <c r="A59" s="1">
        <v>57</v>
      </c>
      <c r="B59" s="1" t="s">
        <v>120</v>
      </c>
      <c r="C59" s="1"/>
      <c r="D59" s="85">
        <v>0</v>
      </c>
      <c r="E59" s="85">
        <v>1481.85</v>
      </c>
      <c r="F59" s="85"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86">
        <f t="shared" si="1"/>
        <v>0</v>
      </c>
      <c r="S59" s="9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94">
        <f t="shared" si="4"/>
        <v>0</v>
      </c>
    </row>
    <row r="60" spans="1:33" x14ac:dyDescent="0.25">
      <c r="A60" s="1">
        <v>58</v>
      </c>
      <c r="B60" s="1" t="s">
        <v>158</v>
      </c>
      <c r="C60" s="1"/>
      <c r="D60" s="85">
        <v>0</v>
      </c>
      <c r="E60" s="85">
        <v>3034.75</v>
      </c>
      <c r="F60" s="85"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86">
        <f t="shared" si="1"/>
        <v>0</v>
      </c>
      <c r="S60" s="94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94">
        <f t="shared" si="4"/>
        <v>0</v>
      </c>
    </row>
    <row r="61" spans="1:33" x14ac:dyDescent="0.25">
      <c r="A61" s="1">
        <v>59</v>
      </c>
      <c r="B61" s="1" t="s">
        <v>155</v>
      </c>
      <c r="C61" s="1"/>
      <c r="D61" s="85">
        <v>0</v>
      </c>
      <c r="E61" s="85">
        <v>1601.47</v>
      </c>
      <c r="F61" s="85"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86">
        <f t="shared" si="1"/>
        <v>0</v>
      </c>
      <c r="S61" s="94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94">
        <f t="shared" si="4"/>
        <v>0</v>
      </c>
    </row>
    <row r="62" spans="1:33" x14ac:dyDescent="0.25">
      <c r="A62" s="1">
        <v>60</v>
      </c>
      <c r="B62" s="1" t="s">
        <v>169</v>
      </c>
      <c r="C62" s="1"/>
      <c r="D62" s="85">
        <v>0</v>
      </c>
      <c r="E62" s="85">
        <v>1610.57</v>
      </c>
      <c r="F62" s="85"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86">
        <f t="shared" si="1"/>
        <v>0</v>
      </c>
      <c r="S62" s="94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94">
        <f t="shared" si="4"/>
        <v>0</v>
      </c>
    </row>
    <row r="63" spans="1:33" x14ac:dyDescent="0.25">
      <c r="A63" s="1">
        <v>61</v>
      </c>
      <c r="B63" s="1" t="s">
        <v>121</v>
      </c>
      <c r="C63" s="1"/>
      <c r="D63" s="85">
        <v>0</v>
      </c>
      <c r="E63" s="85">
        <v>1936.02</v>
      </c>
      <c r="F63" s="85"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86">
        <f t="shared" si="1"/>
        <v>0</v>
      </c>
      <c r="S63" s="94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94">
        <f t="shared" si="4"/>
        <v>0</v>
      </c>
    </row>
    <row r="64" spans="1:33" x14ac:dyDescent="0.25">
      <c r="A64" s="1">
        <v>62</v>
      </c>
      <c r="B64" s="1" t="s">
        <v>113</v>
      </c>
      <c r="C64" s="1"/>
      <c r="D64" s="85">
        <v>12088.65</v>
      </c>
      <c r="E64" s="85">
        <v>4871.6000000000004</v>
      </c>
      <c r="F64" s="85">
        <v>0</v>
      </c>
      <c r="G64" s="1">
        <v>1</v>
      </c>
      <c r="H64" s="1"/>
      <c r="I64" s="1"/>
      <c r="J64" s="1">
        <v>1</v>
      </c>
      <c r="K64" s="1">
        <v>16</v>
      </c>
      <c r="L64" s="1">
        <v>16</v>
      </c>
      <c r="M64" s="1"/>
      <c r="N64" s="1"/>
      <c r="O64" s="1"/>
      <c r="P64" s="1"/>
      <c r="Q64" s="1"/>
      <c r="R64" s="86">
        <f t="shared" si="1"/>
        <v>34</v>
      </c>
      <c r="S64" s="94">
        <f t="shared" ref="S64:S79" si="57">(D64/R64)</f>
        <v>355.54852941176472</v>
      </c>
      <c r="T64" s="85">
        <f>$S$64*G64</f>
        <v>355.54852941176472</v>
      </c>
      <c r="U64" s="85">
        <f t="shared" ref="U64:AD64" si="58">$S$64*H64</f>
        <v>0</v>
      </c>
      <c r="V64" s="85">
        <f t="shared" si="58"/>
        <v>0</v>
      </c>
      <c r="W64" s="85">
        <f t="shared" si="58"/>
        <v>355.54852941176472</v>
      </c>
      <c r="X64" s="85">
        <f t="shared" si="58"/>
        <v>5688.7764705882355</v>
      </c>
      <c r="Y64" s="85">
        <f t="shared" si="58"/>
        <v>5688.7764705882355</v>
      </c>
      <c r="Z64" s="85">
        <f t="shared" si="58"/>
        <v>0</v>
      </c>
      <c r="AA64" s="85">
        <f t="shared" si="58"/>
        <v>0</v>
      </c>
      <c r="AB64" s="85">
        <f t="shared" si="58"/>
        <v>0</v>
      </c>
      <c r="AC64" s="85">
        <f t="shared" si="58"/>
        <v>0</v>
      </c>
      <c r="AD64" s="85">
        <f t="shared" si="58"/>
        <v>0</v>
      </c>
      <c r="AE64" s="94">
        <f t="shared" si="4"/>
        <v>12088.650000000001</v>
      </c>
      <c r="AF64" s="92">
        <f>D64</f>
        <v>12088.65</v>
      </c>
      <c r="AG64" s="94">
        <f>AE64-AF64</f>
        <v>0</v>
      </c>
    </row>
    <row r="65" spans="1:33" x14ac:dyDescent="0.25">
      <c r="A65" s="1">
        <v>63</v>
      </c>
      <c r="B65" s="1" t="s">
        <v>150</v>
      </c>
      <c r="C65" s="1"/>
      <c r="D65" s="85">
        <v>0</v>
      </c>
      <c r="E65" s="85">
        <v>1605.46</v>
      </c>
      <c r="F65" s="85"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86">
        <f t="shared" si="1"/>
        <v>0</v>
      </c>
      <c r="S65" s="94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94">
        <f t="shared" si="4"/>
        <v>0</v>
      </c>
    </row>
    <row r="66" spans="1:33" x14ac:dyDescent="0.25">
      <c r="A66" s="1">
        <v>64</v>
      </c>
      <c r="B66" s="1" t="s">
        <v>101</v>
      </c>
      <c r="C66" s="1"/>
      <c r="D66" s="85">
        <v>0</v>
      </c>
      <c r="E66" s="85">
        <v>2605.15</v>
      </c>
      <c r="F66" s="85"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86">
        <f t="shared" si="1"/>
        <v>0</v>
      </c>
      <c r="S66" s="94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94">
        <f t="shared" si="4"/>
        <v>0</v>
      </c>
    </row>
    <row r="67" spans="1:33" x14ac:dyDescent="0.25">
      <c r="A67" s="1">
        <v>65</v>
      </c>
      <c r="B67" s="1" t="s">
        <v>170</v>
      </c>
      <c r="C67" s="1"/>
      <c r="D67" s="85">
        <v>0</v>
      </c>
      <c r="E67" s="85">
        <v>1680.73</v>
      </c>
      <c r="F67" s="85"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86">
        <f t="shared" si="1"/>
        <v>0</v>
      </c>
      <c r="S67" s="94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94">
        <f t="shared" si="4"/>
        <v>0</v>
      </c>
    </row>
    <row r="68" spans="1:33" x14ac:dyDescent="0.25">
      <c r="A68" s="1">
        <v>66</v>
      </c>
      <c r="B68" s="1" t="s">
        <v>123</v>
      </c>
      <c r="C68" s="1"/>
      <c r="D68" s="85">
        <v>8653.2000000000007</v>
      </c>
      <c r="E68" s="85">
        <v>0</v>
      </c>
      <c r="F68" s="85">
        <v>0</v>
      </c>
      <c r="G68" s="1">
        <v>7</v>
      </c>
      <c r="H68" s="1">
        <v>4</v>
      </c>
      <c r="I68" s="1"/>
      <c r="J68" s="1">
        <v>5</v>
      </c>
      <c r="K68" s="1">
        <v>2</v>
      </c>
      <c r="L68" s="1"/>
      <c r="M68" s="1">
        <v>4</v>
      </c>
      <c r="N68" s="1"/>
      <c r="O68" s="1"/>
      <c r="P68" s="1"/>
      <c r="Q68" s="1"/>
      <c r="R68" s="86">
        <f t="shared" ref="R68:R80" si="59">SUM(G68:Q68)</f>
        <v>22</v>
      </c>
      <c r="S68" s="94">
        <f t="shared" si="57"/>
        <v>393.32727272727277</v>
      </c>
      <c r="T68" s="85">
        <f>$S$68*G68</f>
        <v>2753.2909090909093</v>
      </c>
      <c r="U68" s="85">
        <f t="shared" ref="U68:AD68" si="60">$S$68*H68</f>
        <v>1573.3090909090911</v>
      </c>
      <c r="V68" s="85">
        <f t="shared" si="60"/>
        <v>0</v>
      </c>
      <c r="W68" s="85">
        <f t="shared" si="60"/>
        <v>1966.636363636364</v>
      </c>
      <c r="X68" s="85">
        <f t="shared" si="60"/>
        <v>786.65454545454554</v>
      </c>
      <c r="Y68" s="85">
        <f t="shared" si="60"/>
        <v>0</v>
      </c>
      <c r="Z68" s="85">
        <f t="shared" si="60"/>
        <v>1573.3090909090911</v>
      </c>
      <c r="AA68" s="85">
        <f t="shared" si="60"/>
        <v>0</v>
      </c>
      <c r="AB68" s="85">
        <f t="shared" si="60"/>
        <v>0</v>
      </c>
      <c r="AC68" s="85">
        <f t="shared" si="60"/>
        <v>0</v>
      </c>
      <c r="AD68" s="85">
        <f t="shared" si="60"/>
        <v>0</v>
      </c>
      <c r="AE68" s="94">
        <f t="shared" ref="AE68:AE80" si="61">SUM(T68:AD68)</f>
        <v>8653.2000000000007</v>
      </c>
      <c r="AF68" s="92">
        <f t="shared" ref="AF68:AF69" si="62">D68</f>
        <v>8653.2000000000007</v>
      </c>
      <c r="AG68" s="94">
        <f t="shared" ref="AG68:AG69" si="63">AE68-AF68</f>
        <v>0</v>
      </c>
    </row>
    <row r="69" spans="1:33" x14ac:dyDescent="0.25">
      <c r="A69" s="1">
        <v>67</v>
      </c>
      <c r="B69" s="1" t="s">
        <v>185</v>
      </c>
      <c r="C69" s="1"/>
      <c r="D69" s="85">
        <v>3285.46</v>
      </c>
      <c r="E69" s="85">
        <v>0</v>
      </c>
      <c r="F69" s="85">
        <v>0</v>
      </c>
      <c r="G69" s="1"/>
      <c r="H69" s="1"/>
      <c r="I69" s="1"/>
      <c r="J69" s="1"/>
      <c r="K69" s="1"/>
      <c r="L69" s="1"/>
      <c r="M69" s="1">
        <v>8</v>
      </c>
      <c r="N69" s="1"/>
      <c r="O69" s="1"/>
      <c r="P69" s="1"/>
      <c r="Q69" s="1"/>
      <c r="R69" s="86">
        <f t="shared" si="59"/>
        <v>8</v>
      </c>
      <c r="S69" s="94">
        <f t="shared" si="57"/>
        <v>410.6825</v>
      </c>
      <c r="T69" s="85">
        <f>$S$69*G69</f>
        <v>0</v>
      </c>
      <c r="U69" s="85">
        <f t="shared" ref="U69:AD69" si="64">$S$69*H69</f>
        <v>0</v>
      </c>
      <c r="V69" s="85">
        <f t="shared" si="64"/>
        <v>0</v>
      </c>
      <c r="W69" s="85">
        <f t="shared" si="64"/>
        <v>0</v>
      </c>
      <c r="X69" s="85">
        <f t="shared" si="64"/>
        <v>0</v>
      </c>
      <c r="Y69" s="85">
        <f t="shared" si="64"/>
        <v>0</v>
      </c>
      <c r="Z69" s="85">
        <f t="shared" si="64"/>
        <v>3285.46</v>
      </c>
      <c r="AA69" s="85">
        <f t="shared" si="64"/>
        <v>0</v>
      </c>
      <c r="AB69" s="85">
        <f t="shared" si="64"/>
        <v>0</v>
      </c>
      <c r="AC69" s="85">
        <f t="shared" si="64"/>
        <v>0</v>
      </c>
      <c r="AD69" s="85">
        <f t="shared" si="64"/>
        <v>0</v>
      </c>
      <c r="AE69" s="94">
        <f t="shared" si="61"/>
        <v>3285.46</v>
      </c>
      <c r="AF69" s="92">
        <f t="shared" si="62"/>
        <v>3285.46</v>
      </c>
      <c r="AG69" s="94">
        <f t="shared" si="63"/>
        <v>0</v>
      </c>
    </row>
    <row r="70" spans="1:33" x14ac:dyDescent="0.25">
      <c r="A70" s="1">
        <v>68</v>
      </c>
      <c r="B70" s="1" t="s">
        <v>163</v>
      </c>
      <c r="C70" s="1"/>
      <c r="D70" s="85">
        <v>0</v>
      </c>
      <c r="E70" s="85">
        <v>2150.15</v>
      </c>
      <c r="F70" s="85"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86">
        <f t="shared" si="59"/>
        <v>0</v>
      </c>
      <c r="S70" s="94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94">
        <f t="shared" si="61"/>
        <v>0</v>
      </c>
    </row>
    <row r="71" spans="1:33" x14ac:dyDescent="0.25">
      <c r="A71" s="1">
        <v>69</v>
      </c>
      <c r="B71" s="1" t="s">
        <v>167</v>
      </c>
      <c r="C71" s="1"/>
      <c r="D71" s="85">
        <v>0</v>
      </c>
      <c r="E71" s="85">
        <v>1516.66</v>
      </c>
      <c r="F71" s="85"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86">
        <f t="shared" si="59"/>
        <v>0</v>
      </c>
      <c r="S71" s="94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94">
        <f t="shared" si="61"/>
        <v>0</v>
      </c>
    </row>
    <row r="72" spans="1:33" x14ac:dyDescent="0.25">
      <c r="A72" s="1">
        <v>70</v>
      </c>
      <c r="B72" s="1" t="s">
        <v>119</v>
      </c>
      <c r="C72" s="1"/>
      <c r="D72" s="85">
        <v>0</v>
      </c>
      <c r="E72" s="85">
        <v>3153.96</v>
      </c>
      <c r="F72" s="85"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86">
        <f t="shared" si="59"/>
        <v>0</v>
      </c>
      <c r="S72" s="94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94">
        <f t="shared" si="61"/>
        <v>0</v>
      </c>
    </row>
    <row r="73" spans="1:33" x14ac:dyDescent="0.25">
      <c r="A73" s="1">
        <v>71</v>
      </c>
      <c r="B73" s="1" t="s">
        <v>114</v>
      </c>
      <c r="C73" s="1"/>
      <c r="D73" s="85">
        <v>0</v>
      </c>
      <c r="E73" s="85">
        <v>1651.88</v>
      </c>
      <c r="F73" s="85"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86">
        <f t="shared" si="59"/>
        <v>0</v>
      </c>
      <c r="S73" s="94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94">
        <f t="shared" si="61"/>
        <v>0</v>
      </c>
    </row>
    <row r="74" spans="1:33" x14ac:dyDescent="0.25">
      <c r="A74" s="1">
        <v>72</v>
      </c>
      <c r="B74" s="1" t="s">
        <v>139</v>
      </c>
      <c r="C74" s="1"/>
      <c r="D74" s="85">
        <v>5954.29</v>
      </c>
      <c r="E74" s="85">
        <v>0</v>
      </c>
      <c r="F74" s="85">
        <v>0</v>
      </c>
      <c r="G74" s="1"/>
      <c r="H74" s="1"/>
      <c r="I74" s="1"/>
      <c r="J74" s="1"/>
      <c r="K74" s="1">
        <v>8</v>
      </c>
      <c r="L74" s="1">
        <v>8</v>
      </c>
      <c r="M74" s="1"/>
      <c r="N74" s="1"/>
      <c r="O74" s="1"/>
      <c r="P74" s="1"/>
      <c r="Q74" s="1"/>
      <c r="R74" s="86">
        <f t="shared" si="59"/>
        <v>16</v>
      </c>
      <c r="S74" s="94">
        <f t="shared" si="57"/>
        <v>372.143125</v>
      </c>
      <c r="T74" s="85">
        <f>$S$74*G74</f>
        <v>0</v>
      </c>
      <c r="U74" s="85">
        <f t="shared" ref="U74:AD74" si="65">$S$74*H74</f>
        <v>0</v>
      </c>
      <c r="V74" s="85">
        <f t="shared" si="65"/>
        <v>0</v>
      </c>
      <c r="W74" s="85">
        <f t="shared" si="65"/>
        <v>0</v>
      </c>
      <c r="X74" s="85">
        <f t="shared" si="65"/>
        <v>2977.145</v>
      </c>
      <c r="Y74" s="85">
        <f t="shared" si="65"/>
        <v>2977.145</v>
      </c>
      <c r="Z74" s="85">
        <f t="shared" si="65"/>
        <v>0</v>
      </c>
      <c r="AA74" s="85">
        <f t="shared" si="65"/>
        <v>0</v>
      </c>
      <c r="AB74" s="85">
        <f t="shared" si="65"/>
        <v>0</v>
      </c>
      <c r="AC74" s="85">
        <f t="shared" si="65"/>
        <v>0</v>
      </c>
      <c r="AD74" s="85">
        <f t="shared" si="65"/>
        <v>0</v>
      </c>
      <c r="AE74" s="94">
        <f t="shared" si="61"/>
        <v>5954.29</v>
      </c>
      <c r="AF74" s="92">
        <f>D74</f>
        <v>5954.29</v>
      </c>
      <c r="AG74" s="94">
        <f>AE74-AF74</f>
        <v>0</v>
      </c>
    </row>
    <row r="75" spans="1:33" x14ac:dyDescent="0.25">
      <c r="A75" s="1">
        <v>73</v>
      </c>
      <c r="B75" s="1" t="s">
        <v>172</v>
      </c>
      <c r="C75" s="1"/>
      <c r="D75" s="85">
        <v>0</v>
      </c>
      <c r="E75" s="85">
        <v>1502.42</v>
      </c>
      <c r="F75" s="85"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86">
        <f t="shared" si="59"/>
        <v>0</v>
      </c>
      <c r="S75" s="94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94">
        <f t="shared" si="61"/>
        <v>0</v>
      </c>
    </row>
    <row r="76" spans="1:33" x14ac:dyDescent="0.25">
      <c r="A76" s="1">
        <v>74</v>
      </c>
      <c r="B76" s="1" t="s">
        <v>144</v>
      </c>
      <c r="C76" s="1"/>
      <c r="D76" s="85">
        <v>2976.79</v>
      </c>
      <c r="E76" s="85">
        <v>0</v>
      </c>
      <c r="F76" s="85">
        <v>0</v>
      </c>
      <c r="G76" s="1">
        <v>4</v>
      </c>
      <c r="H76" s="1">
        <v>2</v>
      </c>
      <c r="I76" s="1"/>
      <c r="J76" s="1"/>
      <c r="K76" s="1"/>
      <c r="L76" s="1"/>
      <c r="M76" s="1"/>
      <c r="N76" s="1"/>
      <c r="O76" s="1"/>
      <c r="P76" s="1"/>
      <c r="Q76" s="1">
        <v>1</v>
      </c>
      <c r="R76" s="86">
        <f t="shared" si="59"/>
        <v>7</v>
      </c>
      <c r="S76" s="94">
        <f t="shared" si="57"/>
        <v>425.2557142857143</v>
      </c>
      <c r="T76" s="85">
        <f>$S$76*G76</f>
        <v>1701.0228571428572</v>
      </c>
      <c r="U76" s="85">
        <f t="shared" ref="U76:AD76" si="66">$S$76*H76</f>
        <v>850.51142857142861</v>
      </c>
      <c r="V76" s="85">
        <f t="shared" si="66"/>
        <v>0</v>
      </c>
      <c r="W76" s="85">
        <f t="shared" si="66"/>
        <v>0</v>
      </c>
      <c r="X76" s="85">
        <f t="shared" si="66"/>
        <v>0</v>
      </c>
      <c r="Y76" s="85">
        <f t="shared" si="66"/>
        <v>0</v>
      </c>
      <c r="Z76" s="85">
        <f t="shared" si="66"/>
        <v>0</v>
      </c>
      <c r="AA76" s="85">
        <f t="shared" si="66"/>
        <v>0</v>
      </c>
      <c r="AB76" s="85">
        <f t="shared" si="66"/>
        <v>0</v>
      </c>
      <c r="AC76" s="85">
        <f t="shared" si="66"/>
        <v>0</v>
      </c>
      <c r="AD76" s="85">
        <f t="shared" si="66"/>
        <v>425.2557142857143</v>
      </c>
      <c r="AE76" s="94">
        <f t="shared" si="61"/>
        <v>2976.7900000000004</v>
      </c>
      <c r="AF76" s="92">
        <f>D76</f>
        <v>2976.79</v>
      </c>
      <c r="AG76" s="94">
        <f>AE76-AF76</f>
        <v>0</v>
      </c>
    </row>
    <row r="77" spans="1:33" x14ac:dyDescent="0.25">
      <c r="A77" s="1">
        <v>75</v>
      </c>
      <c r="B77" s="1" t="s">
        <v>171</v>
      </c>
      <c r="C77" s="1"/>
      <c r="D77" s="85">
        <v>0</v>
      </c>
      <c r="E77" s="85">
        <v>1813.59</v>
      </c>
      <c r="F77" s="85"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86">
        <f t="shared" si="59"/>
        <v>0</v>
      </c>
      <c r="S77" s="94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94">
        <f t="shared" si="61"/>
        <v>0</v>
      </c>
    </row>
    <row r="78" spans="1:33" x14ac:dyDescent="0.25">
      <c r="A78" s="1">
        <v>76</v>
      </c>
      <c r="B78" s="1" t="s">
        <v>173</v>
      </c>
      <c r="C78" s="1"/>
      <c r="D78" s="85">
        <v>2527.62</v>
      </c>
      <c r="E78" s="85">
        <v>0</v>
      </c>
      <c r="F78" s="85">
        <v>0</v>
      </c>
      <c r="G78" s="1"/>
      <c r="H78" s="1"/>
      <c r="I78" s="1"/>
      <c r="J78" s="1"/>
      <c r="K78" s="1"/>
      <c r="L78" s="1"/>
      <c r="M78" s="1"/>
      <c r="N78" s="1"/>
      <c r="O78" s="1"/>
      <c r="P78" s="1">
        <v>8</v>
      </c>
      <c r="Q78" s="1"/>
      <c r="R78" s="86">
        <f t="shared" si="59"/>
        <v>8</v>
      </c>
      <c r="S78" s="94">
        <f t="shared" si="57"/>
        <v>315.95249999999999</v>
      </c>
      <c r="T78" s="85">
        <f>$S$78*G78</f>
        <v>0</v>
      </c>
      <c r="U78" s="85">
        <f t="shared" ref="U78:AD78" si="67">$S$78*H78</f>
        <v>0</v>
      </c>
      <c r="V78" s="85">
        <f t="shared" si="67"/>
        <v>0</v>
      </c>
      <c r="W78" s="85">
        <f t="shared" si="67"/>
        <v>0</v>
      </c>
      <c r="X78" s="85">
        <f t="shared" si="67"/>
        <v>0</v>
      </c>
      <c r="Y78" s="85">
        <f t="shared" si="67"/>
        <v>0</v>
      </c>
      <c r="Z78" s="85">
        <f t="shared" si="67"/>
        <v>0</v>
      </c>
      <c r="AA78" s="85">
        <f t="shared" si="67"/>
        <v>0</v>
      </c>
      <c r="AB78" s="85">
        <f t="shared" si="67"/>
        <v>0</v>
      </c>
      <c r="AC78" s="85">
        <f t="shared" si="67"/>
        <v>2527.62</v>
      </c>
      <c r="AD78" s="85">
        <f t="shared" si="67"/>
        <v>0</v>
      </c>
      <c r="AE78" s="94">
        <f t="shared" si="61"/>
        <v>2527.62</v>
      </c>
      <c r="AF78" s="92">
        <f t="shared" ref="AF78:AF81" si="68">D78</f>
        <v>2527.62</v>
      </c>
      <c r="AG78" s="94">
        <f t="shared" ref="AG78:AG81" si="69">AE78-AF78</f>
        <v>0</v>
      </c>
    </row>
    <row r="79" spans="1:33" x14ac:dyDescent="0.25">
      <c r="A79" s="1">
        <v>77</v>
      </c>
      <c r="B79" s="1" t="s">
        <v>174</v>
      </c>
      <c r="C79" s="1"/>
      <c r="D79" s="85">
        <v>2559.23</v>
      </c>
      <c r="E79" s="85">
        <v>0</v>
      </c>
      <c r="F79" s="85">
        <v>0</v>
      </c>
      <c r="G79" s="1"/>
      <c r="H79" s="1"/>
      <c r="I79" s="1">
        <v>8</v>
      </c>
      <c r="J79" s="1"/>
      <c r="K79" s="1"/>
      <c r="L79" s="1"/>
      <c r="M79" s="1"/>
      <c r="N79" s="1"/>
      <c r="O79" s="1"/>
      <c r="P79" s="1"/>
      <c r="Q79" s="1"/>
      <c r="R79" s="86">
        <f t="shared" si="59"/>
        <v>8</v>
      </c>
      <c r="S79" s="94">
        <f t="shared" si="57"/>
        <v>319.90375</v>
      </c>
      <c r="T79" s="85">
        <f>$S$79*G79</f>
        <v>0</v>
      </c>
      <c r="U79" s="85">
        <f t="shared" ref="U79:AD79" si="70">$S$79*H79</f>
        <v>0</v>
      </c>
      <c r="V79" s="85">
        <f t="shared" si="70"/>
        <v>2559.23</v>
      </c>
      <c r="W79" s="85">
        <f t="shared" si="70"/>
        <v>0</v>
      </c>
      <c r="X79" s="85">
        <f t="shared" si="70"/>
        <v>0</v>
      </c>
      <c r="Y79" s="85">
        <f t="shared" si="70"/>
        <v>0</v>
      </c>
      <c r="Z79" s="85">
        <f t="shared" si="70"/>
        <v>0</v>
      </c>
      <c r="AA79" s="85">
        <f t="shared" si="70"/>
        <v>0</v>
      </c>
      <c r="AB79" s="85">
        <f t="shared" si="70"/>
        <v>0</v>
      </c>
      <c r="AC79" s="85">
        <f t="shared" si="70"/>
        <v>0</v>
      </c>
      <c r="AD79" s="85">
        <f t="shared" si="70"/>
        <v>0</v>
      </c>
      <c r="AE79" s="94">
        <f t="shared" si="61"/>
        <v>2559.23</v>
      </c>
      <c r="AF79" s="92">
        <f t="shared" si="68"/>
        <v>2559.23</v>
      </c>
      <c r="AG79" s="94">
        <f t="shared" si="69"/>
        <v>0</v>
      </c>
    </row>
    <row r="80" spans="1:33" x14ac:dyDescent="0.25">
      <c r="A80" s="1">
        <v>78</v>
      </c>
      <c r="B80" s="1" t="s">
        <v>122</v>
      </c>
      <c r="C80" s="1"/>
      <c r="D80" s="85">
        <v>0</v>
      </c>
      <c r="E80" s="85">
        <v>1543.78</v>
      </c>
      <c r="F80" s="85"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86">
        <f t="shared" si="59"/>
        <v>0</v>
      </c>
      <c r="S80" s="94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94">
        <f t="shared" si="61"/>
        <v>0</v>
      </c>
    </row>
    <row r="81" spans="3:33" x14ac:dyDescent="0.25">
      <c r="C81" s="105" t="s">
        <v>273</v>
      </c>
      <c r="D81" s="81">
        <f>SUM(D3:D80)</f>
        <v>199984.17000000004</v>
      </c>
      <c r="E81" s="81">
        <f>SUM(E3:E80)</f>
        <v>83551.599999999991</v>
      </c>
      <c r="F81" s="81">
        <f>SUM(F3:F80)</f>
        <v>21512.89</v>
      </c>
      <c r="T81" s="81">
        <f>SUM(T3:T80)</f>
        <v>27373.37199405823</v>
      </c>
      <c r="U81" s="81">
        <f t="shared" ref="U81:AD81" si="71">SUM(U3:U80)</f>
        <v>7231.381519480522</v>
      </c>
      <c r="V81" s="81">
        <f t="shared" si="71"/>
        <v>18780.876666666667</v>
      </c>
      <c r="W81" s="81">
        <f t="shared" si="71"/>
        <v>25168.622631143364</v>
      </c>
      <c r="X81" s="81">
        <f t="shared" si="71"/>
        <v>39237.147444614209</v>
      </c>
      <c r="Y81" s="81">
        <f t="shared" si="71"/>
        <v>28688.762470588237</v>
      </c>
      <c r="Z81" s="81">
        <f t="shared" si="71"/>
        <v>38678.023979797974</v>
      </c>
      <c r="AA81" s="81">
        <f t="shared" si="71"/>
        <v>3288.4810714285709</v>
      </c>
      <c r="AB81" s="81">
        <f t="shared" si="71"/>
        <v>3262.9642857142853</v>
      </c>
      <c r="AC81" s="81">
        <f t="shared" si="71"/>
        <v>6308.0622222222228</v>
      </c>
      <c r="AD81" s="81">
        <f t="shared" si="71"/>
        <v>1966.4757142857143</v>
      </c>
      <c r="AE81" s="101">
        <f>SUM(T81:AD81)</f>
        <v>199984.16999999998</v>
      </c>
      <c r="AF81" s="91">
        <f t="shared" si="68"/>
        <v>199984.17000000004</v>
      </c>
      <c r="AG81" s="101">
        <f t="shared" si="69"/>
        <v>0</v>
      </c>
    </row>
    <row r="82" spans="3:33" x14ac:dyDescent="0.25">
      <c r="C82" s="105" t="s">
        <v>274</v>
      </c>
      <c r="D82" s="81">
        <f>D81*22%</f>
        <v>43996.517400000012</v>
      </c>
      <c r="E82" s="81">
        <f>E81*22%</f>
        <v>18381.351999999999</v>
      </c>
      <c r="F82" s="81">
        <f>F81*22%</f>
        <v>4732.8357999999998</v>
      </c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101"/>
      <c r="AF82" s="91"/>
      <c r="AG82" s="101"/>
    </row>
    <row r="83" spans="3:33" x14ac:dyDescent="0.25">
      <c r="D83" s="257">
        <f>D81+E81+F81+D82+E82+F82</f>
        <v>372159.36520000006</v>
      </c>
      <c r="E83" s="257"/>
      <c r="F83" s="257"/>
    </row>
    <row r="84" spans="3:33" x14ac:dyDescent="0.25">
      <c r="D84" s="90">
        <f>(D81+D82)/D83</f>
        <v>0.65558121120741852</v>
      </c>
      <c r="E84" s="90">
        <f>(E81+E82)/D83</f>
        <v>0.27389597449797021</v>
      </c>
      <c r="F84" s="90">
        <f>(F81+F82)/D83</f>
        <v>7.0522814294611214E-2</v>
      </c>
    </row>
  </sheetData>
  <autoFilter ref="A2:AF84" xr:uid="{00000000-0009-0000-0000-00000A000000}"/>
  <sortState ref="B3:F80">
    <sortCondition ref="B3:B80"/>
  </sortState>
  <mergeCells count="3">
    <mergeCell ref="G1:N1"/>
    <mergeCell ref="D83:F83"/>
    <mergeCell ref="T1:AA1"/>
  </mergeCells>
  <printOptions horizontalCentered="1"/>
  <pageMargins left="0.51181102362204722" right="0.51181102362204722" top="0.39370078740157483" bottom="0.39370078740157483" header="0" footer="0"/>
  <pageSetup paperSize="9" scale="33" orientation="landscape" r:id="rId1"/>
  <ignoredErrors>
    <ignoredError sqref="R3:R8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23"/>
  <sheetViews>
    <sheetView workbookViewId="0">
      <selection activeCell="C1" sqref="C1"/>
    </sheetView>
  </sheetViews>
  <sheetFormatPr defaultRowHeight="15" x14ac:dyDescent="0.25"/>
  <cols>
    <col min="1" max="1" width="4.7109375" customWidth="1"/>
    <col min="2" max="2" width="48.42578125" bestFit="1" customWidth="1"/>
    <col min="3" max="3" width="10.5703125" bestFit="1" customWidth="1"/>
    <col min="5" max="5" width="39.42578125" bestFit="1" customWidth="1"/>
    <col min="8" max="8" width="28.42578125" bestFit="1" customWidth="1"/>
    <col min="9" max="9" width="10.5703125" bestFit="1" customWidth="1"/>
    <col min="11" max="11" width="14.28515625" style="82" bestFit="1" customWidth="1"/>
    <col min="13" max="13" width="10.5703125" bestFit="1" customWidth="1"/>
    <col min="14" max="14" width="8.42578125" bestFit="1" customWidth="1"/>
    <col min="15" max="15" width="15" bestFit="1" customWidth="1"/>
    <col min="16" max="16" width="16.85546875" bestFit="1" customWidth="1"/>
    <col min="17" max="17" width="14.28515625" bestFit="1" customWidth="1"/>
  </cols>
  <sheetData>
    <row r="2" spans="2:17" ht="15.75" x14ac:dyDescent="0.25">
      <c r="B2" s="93" t="s">
        <v>205</v>
      </c>
      <c r="C2" s="93">
        <f>SUM(C3:C8)</f>
        <v>151</v>
      </c>
      <c r="E2" s="95" t="s">
        <v>206</v>
      </c>
      <c r="F2" s="93">
        <v>7</v>
      </c>
      <c r="H2" s="95" t="s">
        <v>207</v>
      </c>
      <c r="I2" s="93">
        <v>4</v>
      </c>
    </row>
    <row r="3" spans="2:17" ht="15.75" x14ac:dyDescent="0.25">
      <c r="B3" s="84" t="s">
        <v>208</v>
      </c>
      <c r="C3">
        <v>12</v>
      </c>
      <c r="E3" s="95" t="s">
        <v>209</v>
      </c>
      <c r="F3">
        <v>7</v>
      </c>
      <c r="H3" s="96" t="s">
        <v>210</v>
      </c>
      <c r="I3">
        <v>4</v>
      </c>
    </row>
    <row r="4" spans="2:17" ht="15.75" x14ac:dyDescent="0.25">
      <c r="B4" s="84" t="s">
        <v>211</v>
      </c>
      <c r="C4">
        <v>19</v>
      </c>
    </row>
    <row r="5" spans="2:17" ht="15.75" x14ac:dyDescent="0.25">
      <c r="B5" s="84" t="s">
        <v>212</v>
      </c>
      <c r="C5">
        <v>30</v>
      </c>
      <c r="E5" s="95" t="s">
        <v>213</v>
      </c>
      <c r="F5" s="93">
        <f>SUM(F6:F14)</f>
        <v>261</v>
      </c>
      <c r="H5" s="93" t="s">
        <v>198</v>
      </c>
      <c r="I5" s="93">
        <v>617</v>
      </c>
    </row>
    <row r="6" spans="2:17" ht="15.75" x14ac:dyDescent="0.25">
      <c r="B6" s="84" t="s">
        <v>214</v>
      </c>
      <c r="C6">
        <v>29</v>
      </c>
      <c r="E6" s="97" t="s">
        <v>215</v>
      </c>
      <c r="F6">
        <v>47</v>
      </c>
    </row>
    <row r="7" spans="2:17" ht="15.75" x14ac:dyDescent="0.25">
      <c r="B7" s="84" t="s">
        <v>216</v>
      </c>
      <c r="C7">
        <v>30</v>
      </c>
      <c r="E7" s="84" t="s">
        <v>217</v>
      </c>
      <c r="F7">
        <v>37</v>
      </c>
      <c r="H7" s="97" t="s">
        <v>92</v>
      </c>
      <c r="I7" s="81">
        <v>422.28</v>
      </c>
      <c r="J7">
        <f>C3+C4</f>
        <v>31</v>
      </c>
      <c r="K7" s="81">
        <f>I7*J7</f>
        <v>13090.679999999998</v>
      </c>
    </row>
    <row r="8" spans="2:17" ht="15.75" x14ac:dyDescent="0.25">
      <c r="B8" s="84" t="s">
        <v>218</v>
      </c>
      <c r="C8">
        <v>31</v>
      </c>
      <c r="E8" s="84" t="s">
        <v>219</v>
      </c>
      <c r="F8">
        <v>33</v>
      </c>
      <c r="H8" s="97" t="s">
        <v>93</v>
      </c>
      <c r="I8" s="81">
        <v>618.39</v>
      </c>
      <c r="J8">
        <f>C5+C6+C7+C8</f>
        <v>120</v>
      </c>
      <c r="K8" s="81">
        <f t="shared" ref="K8:K17" si="0">I8*J8</f>
        <v>74206.8</v>
      </c>
    </row>
    <row r="9" spans="2:17" ht="15.75" x14ac:dyDescent="0.25">
      <c r="E9" s="84" t="s">
        <v>220</v>
      </c>
      <c r="F9">
        <v>20</v>
      </c>
      <c r="H9" s="97" t="s">
        <v>77</v>
      </c>
      <c r="I9" s="81">
        <v>668.83</v>
      </c>
      <c r="J9">
        <v>0</v>
      </c>
      <c r="K9" s="81">
        <f t="shared" si="0"/>
        <v>0</v>
      </c>
    </row>
    <row r="10" spans="2:17" ht="15.75" x14ac:dyDescent="0.25">
      <c r="B10" s="97" t="s">
        <v>221</v>
      </c>
      <c r="C10" s="93">
        <f>SUM(C11:C14)</f>
        <v>50</v>
      </c>
      <c r="E10" s="84" t="s">
        <v>222</v>
      </c>
      <c r="F10">
        <v>18</v>
      </c>
      <c r="H10" s="97" t="s">
        <v>77</v>
      </c>
      <c r="I10" s="81">
        <v>829.1</v>
      </c>
      <c r="J10">
        <f>C10</f>
        <v>50</v>
      </c>
      <c r="K10" s="81">
        <f t="shared" si="0"/>
        <v>41455</v>
      </c>
    </row>
    <row r="11" spans="2:17" ht="15.75" x14ac:dyDescent="0.25">
      <c r="B11" s="84" t="s">
        <v>223</v>
      </c>
      <c r="C11">
        <v>6</v>
      </c>
      <c r="E11" s="84" t="s">
        <v>224</v>
      </c>
      <c r="F11">
        <v>24</v>
      </c>
      <c r="H11" s="97" t="s">
        <v>78</v>
      </c>
      <c r="I11" s="81">
        <v>627.16</v>
      </c>
      <c r="J11">
        <f>C16</f>
        <v>41</v>
      </c>
      <c r="K11" s="81">
        <f t="shared" si="0"/>
        <v>25713.559999999998</v>
      </c>
    </row>
    <row r="12" spans="2:17" ht="15.75" x14ac:dyDescent="0.25">
      <c r="B12" s="84" t="s">
        <v>225</v>
      </c>
      <c r="C12">
        <v>14</v>
      </c>
      <c r="E12" s="84" t="s">
        <v>226</v>
      </c>
      <c r="F12">
        <v>16</v>
      </c>
      <c r="H12" s="97" t="s">
        <v>94</v>
      </c>
      <c r="I12" s="81">
        <v>554.5</v>
      </c>
      <c r="J12">
        <f>F6+F7+F8+F9</f>
        <v>137</v>
      </c>
      <c r="K12" s="81">
        <f t="shared" si="0"/>
        <v>75966.5</v>
      </c>
    </row>
    <row r="13" spans="2:17" ht="15.75" x14ac:dyDescent="0.25">
      <c r="B13" s="84" t="s">
        <v>227</v>
      </c>
      <c r="C13">
        <v>9</v>
      </c>
      <c r="E13" s="84" t="s">
        <v>228</v>
      </c>
      <c r="F13">
        <v>33</v>
      </c>
      <c r="H13" s="97" t="s">
        <v>95</v>
      </c>
      <c r="I13" s="81">
        <v>816.64</v>
      </c>
      <c r="J13">
        <f>F10+F11+F12+F13+F14</f>
        <v>124</v>
      </c>
      <c r="K13" s="81">
        <f t="shared" si="0"/>
        <v>101263.36</v>
      </c>
    </row>
    <row r="14" spans="2:17" ht="15.75" x14ac:dyDescent="0.25">
      <c r="B14" s="84" t="s">
        <v>229</v>
      </c>
      <c r="C14">
        <v>21</v>
      </c>
      <c r="E14" s="84" t="s">
        <v>230</v>
      </c>
      <c r="F14">
        <v>33</v>
      </c>
      <c r="H14" s="97" t="s">
        <v>82</v>
      </c>
      <c r="I14" s="81">
        <v>612.85</v>
      </c>
      <c r="J14">
        <v>0</v>
      </c>
      <c r="K14" s="81">
        <f t="shared" si="0"/>
        <v>0</v>
      </c>
    </row>
    <row r="15" spans="2:17" ht="15.75" x14ac:dyDescent="0.25">
      <c r="H15" s="97" t="s">
        <v>82</v>
      </c>
      <c r="I15" s="81">
        <v>844.58</v>
      </c>
      <c r="J15">
        <f>F16</f>
        <v>97</v>
      </c>
      <c r="K15" s="81">
        <f t="shared" si="0"/>
        <v>81924.260000000009</v>
      </c>
      <c r="M15" s="260" t="s">
        <v>231</v>
      </c>
      <c r="N15" s="260"/>
      <c r="O15" s="260"/>
      <c r="P15" s="260"/>
      <c r="Q15" s="260"/>
    </row>
    <row r="16" spans="2:17" ht="15.75" x14ac:dyDescent="0.25">
      <c r="B16" s="95" t="s">
        <v>232</v>
      </c>
      <c r="C16" s="93">
        <f>SUM(C17:C20)</f>
        <v>41</v>
      </c>
      <c r="E16" s="98" t="s">
        <v>233</v>
      </c>
      <c r="F16" s="93">
        <f>SUM(F17:F21)</f>
        <v>97</v>
      </c>
      <c r="H16" s="97" t="s">
        <v>96</v>
      </c>
      <c r="I16" s="81">
        <v>681</v>
      </c>
      <c r="J16">
        <f>I2</f>
        <v>4</v>
      </c>
      <c r="K16" s="81">
        <f t="shared" si="0"/>
        <v>2724</v>
      </c>
      <c r="M16" s="86" t="s">
        <v>234</v>
      </c>
      <c r="N16" s="86" t="s">
        <v>235</v>
      </c>
      <c r="O16" s="86" t="s">
        <v>236</v>
      </c>
      <c r="P16" s="86" t="s">
        <v>237</v>
      </c>
      <c r="Q16" s="86" t="s">
        <v>198</v>
      </c>
    </row>
    <row r="17" spans="2:17" ht="15.75" x14ac:dyDescent="0.25">
      <c r="B17" s="99" t="s">
        <v>238</v>
      </c>
      <c r="C17">
        <v>6</v>
      </c>
      <c r="E17" s="97" t="s">
        <v>239</v>
      </c>
      <c r="F17">
        <v>17</v>
      </c>
      <c r="H17" s="97" t="s">
        <v>97</v>
      </c>
      <c r="I17" s="81">
        <v>784.52</v>
      </c>
      <c r="J17">
        <f>F2</f>
        <v>7</v>
      </c>
      <c r="K17" s="81">
        <f t="shared" si="0"/>
        <v>5491.6399999999994</v>
      </c>
      <c r="M17" s="100" t="s">
        <v>240</v>
      </c>
      <c r="N17" s="1">
        <f>N18+5</f>
        <v>641</v>
      </c>
      <c r="O17" s="92">
        <f>(N17*90%)*$I$19</f>
        <v>358463.77367921436</v>
      </c>
      <c r="P17" s="92">
        <f>(N17*10%)*$I$21</f>
        <v>44254.786873977093</v>
      </c>
      <c r="Q17" s="94">
        <f>O17+P17</f>
        <v>402718.56055319146</v>
      </c>
    </row>
    <row r="18" spans="2:17" ht="15.75" x14ac:dyDescent="0.25">
      <c r="B18" s="99" t="s">
        <v>241</v>
      </c>
      <c r="C18">
        <v>14</v>
      </c>
      <c r="E18" s="84" t="s">
        <v>242</v>
      </c>
      <c r="F18">
        <v>20</v>
      </c>
      <c r="H18" s="97" t="s">
        <v>243</v>
      </c>
      <c r="I18" s="101">
        <f>K18/J18</f>
        <v>690.40229132569561</v>
      </c>
      <c r="J18" s="93">
        <f>SUM(J7:J17)</f>
        <v>611</v>
      </c>
      <c r="K18" s="81">
        <f>SUM(K7:K17)</f>
        <v>421835.8</v>
      </c>
      <c r="M18" s="100" t="s">
        <v>244</v>
      </c>
      <c r="N18" s="1">
        <f>N19+5</f>
        <v>636</v>
      </c>
      <c r="O18" s="92">
        <f t="shared" ref="O18:O21" si="1">(N18*90%)*$I$19</f>
        <v>355667.64439934533</v>
      </c>
      <c r="P18" s="92">
        <f t="shared" ref="P18:P21" si="2">(N18*10%)*$I$21</f>
        <v>43909.58572831424</v>
      </c>
      <c r="Q18" s="94">
        <f t="shared" ref="Q18:Q21" si="3">O18+P18</f>
        <v>399577.23012765957</v>
      </c>
    </row>
    <row r="19" spans="2:17" ht="15.75" x14ac:dyDescent="0.25">
      <c r="B19" s="99" t="s">
        <v>245</v>
      </c>
      <c r="C19">
        <v>11</v>
      </c>
      <c r="E19" s="84" t="s">
        <v>246</v>
      </c>
      <c r="F19">
        <v>22</v>
      </c>
      <c r="H19" s="97" t="s">
        <v>247</v>
      </c>
      <c r="I19" s="101">
        <f>I18-(I18*10%)</f>
        <v>621.36206219312601</v>
      </c>
      <c r="J19" s="93">
        <f>J18</f>
        <v>611</v>
      </c>
      <c r="K19" s="81">
        <f>I19*J19</f>
        <v>379652.22</v>
      </c>
      <c r="M19" s="100" t="s">
        <v>248</v>
      </c>
      <c r="N19" s="1">
        <f t="shared" ref="N19" si="4">N20+10</f>
        <v>631</v>
      </c>
      <c r="O19" s="92">
        <f t="shared" si="1"/>
        <v>352871.51511947624</v>
      </c>
      <c r="P19" s="92">
        <f t="shared" si="2"/>
        <v>43564.384582651393</v>
      </c>
      <c r="Q19" s="94">
        <f t="shared" si="3"/>
        <v>396435.89970212762</v>
      </c>
    </row>
    <row r="20" spans="2:17" ht="15.75" x14ac:dyDescent="0.25">
      <c r="B20" s="99" t="s">
        <v>249</v>
      </c>
      <c r="C20">
        <v>10</v>
      </c>
      <c r="E20" s="84" t="s">
        <v>250</v>
      </c>
      <c r="F20">
        <v>22</v>
      </c>
      <c r="H20" s="97" t="s">
        <v>251</v>
      </c>
      <c r="I20" s="101">
        <f>I19</f>
        <v>621.36206219312601</v>
      </c>
      <c r="J20" s="93">
        <v>550</v>
      </c>
      <c r="K20" s="81">
        <f>I20*J20</f>
        <v>341749.13420621929</v>
      </c>
      <c r="M20" s="100" t="s">
        <v>252</v>
      </c>
      <c r="N20" s="1">
        <f>N21+10</f>
        <v>621</v>
      </c>
      <c r="O20" s="92">
        <f t="shared" si="1"/>
        <v>347279.25655973813</v>
      </c>
      <c r="P20" s="92">
        <f t="shared" si="2"/>
        <v>42873.982291325701</v>
      </c>
      <c r="Q20" s="94">
        <f t="shared" si="3"/>
        <v>390153.23885106383</v>
      </c>
    </row>
    <row r="21" spans="2:17" ht="15.75" x14ac:dyDescent="0.25">
      <c r="E21" s="84" t="s">
        <v>253</v>
      </c>
      <c r="F21">
        <v>16</v>
      </c>
      <c r="H21" s="97" t="s">
        <v>254</v>
      </c>
      <c r="I21" s="101">
        <f>I18</f>
        <v>690.40229132569561</v>
      </c>
      <c r="J21" s="93">
        <f>J18-J20</f>
        <v>61</v>
      </c>
      <c r="K21" s="81">
        <f>I21*J21</f>
        <v>42114.539770867435</v>
      </c>
      <c r="M21" s="100" t="s">
        <v>255</v>
      </c>
      <c r="N21" s="1">
        <f>J19</f>
        <v>611</v>
      </c>
      <c r="O21" s="92">
        <f t="shared" si="1"/>
        <v>341686.99799999996</v>
      </c>
      <c r="P21" s="92">
        <f t="shared" si="2"/>
        <v>42183.58</v>
      </c>
      <c r="Q21" s="94">
        <f t="shared" si="3"/>
        <v>383870.57799999998</v>
      </c>
    </row>
    <row r="22" spans="2:17" ht="15.75" x14ac:dyDescent="0.25">
      <c r="B22" s="95" t="s">
        <v>256</v>
      </c>
      <c r="C22" s="93">
        <v>6</v>
      </c>
    </row>
    <row r="23" spans="2:17" x14ac:dyDescent="0.25">
      <c r="C23" s="82">
        <v>238</v>
      </c>
      <c r="O23" s="91"/>
    </row>
  </sheetData>
  <mergeCells count="1">
    <mergeCell ref="M15:Q15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73"/>
  <sheetViews>
    <sheetView topLeftCell="A7" zoomScale="85" zoomScaleNormal="85" workbookViewId="0">
      <selection activeCell="D16" sqref="D16"/>
    </sheetView>
  </sheetViews>
  <sheetFormatPr defaultRowHeight="15" x14ac:dyDescent="0.25"/>
  <cols>
    <col min="1" max="1" width="3.42578125" customWidth="1"/>
    <col min="2" max="2" width="31.5703125" bestFit="1" customWidth="1"/>
    <col min="3" max="3" width="15.140625" style="82" hidden="1" customWidth="1"/>
    <col min="4" max="4" width="16" style="82" bestFit="1" customWidth="1"/>
    <col min="5" max="5" width="6.42578125" bestFit="1" customWidth="1"/>
    <col min="6" max="6" width="4.28515625" bestFit="1" customWidth="1"/>
    <col min="7" max="7" width="26" bestFit="1" customWidth="1"/>
    <col min="8" max="8" width="15.140625" style="82" bestFit="1" customWidth="1"/>
    <col min="9" max="9" width="13.85546875" bestFit="1" customWidth="1"/>
    <col min="10" max="10" width="8.42578125" bestFit="1" customWidth="1"/>
    <col min="11" max="14" width="15.140625" bestFit="1" customWidth="1"/>
    <col min="15" max="15" width="4.7109375" bestFit="1" customWidth="1"/>
  </cols>
  <sheetData>
    <row r="1" spans="2:15" x14ac:dyDescent="0.25">
      <c r="C1" s="83" t="s">
        <v>88</v>
      </c>
      <c r="D1" s="83" t="s">
        <v>89</v>
      </c>
    </row>
    <row r="2" spans="2:15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5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7285.4656391752578</v>
      </c>
      <c r="L3" s="94">
        <f>H3+I3+K3</f>
        <v>17593.589092941496</v>
      </c>
      <c r="M3" s="138">
        <v>10802.81</v>
      </c>
      <c r="N3" s="139">
        <f>(M3-(M3*O3))-L3</f>
        <v>-6936.864092941496</v>
      </c>
      <c r="O3" s="134">
        <v>1.3522870438339654E-2</v>
      </c>
    </row>
    <row r="4" spans="2:15" ht="15.75" x14ac:dyDescent="0.25">
      <c r="B4" s="42" t="s">
        <v>91</v>
      </c>
      <c r="C4" s="109"/>
      <c r="D4" s="109">
        <f>Planilha3!E81+Planilha3!E82</f>
        <v>101932.95199999999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9" si="0">J4*$D$6</f>
        <v>27026.72737113402</v>
      </c>
      <c r="L4" s="94">
        <f t="shared" ref="L4:L9" si="1">H4+I4+K4</f>
        <v>61908.079203885063</v>
      </c>
      <c r="M4" s="138">
        <v>53636.149999999994</v>
      </c>
      <c r="N4" s="139">
        <f t="shared" ref="N4:N9" si="2">(M4-(M4*O4))-L4</f>
        <v>-11768.129203885066</v>
      </c>
      <c r="O4" s="134">
        <v>6.5183649460298712E-2</v>
      </c>
    </row>
    <row r="5" spans="2:15" ht="15.75" x14ac:dyDescent="0.25">
      <c r="B5" s="210" t="s">
        <v>198</v>
      </c>
      <c r="C5" s="210"/>
      <c r="D5" s="81">
        <f>SUM(D2:D4)</f>
        <v>136778.742</v>
      </c>
      <c r="G5" s="115" t="s">
        <v>77</v>
      </c>
      <c r="H5" s="85">
        <v>22912.669533333334</v>
      </c>
      <c r="I5" s="92">
        <v>3436.4227999999998</v>
      </c>
      <c r="J5" s="130">
        <v>43</v>
      </c>
      <c r="K5" s="92">
        <f t="shared" si="0"/>
        <v>10105.645886597938</v>
      </c>
      <c r="L5" s="94">
        <f t="shared" si="1"/>
        <v>36454.738219931271</v>
      </c>
      <c r="M5" s="138">
        <v>28017.020000000004</v>
      </c>
      <c r="N5" s="139">
        <f t="shared" si="2"/>
        <v>-12901.719886597934</v>
      </c>
      <c r="O5" s="134">
        <v>0.15933177999182874</v>
      </c>
    </row>
    <row r="6" spans="2:15" ht="15.75" x14ac:dyDescent="0.25">
      <c r="B6" s="5" t="s">
        <v>204</v>
      </c>
      <c r="C6" s="110" t="s">
        <v>289</v>
      </c>
      <c r="D6" s="111">
        <f>D5/C6</f>
        <v>235.01502061855669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9165.5858041237116</v>
      </c>
      <c r="L6" s="94">
        <f t="shared" si="1"/>
        <v>42991.565214118615</v>
      </c>
      <c r="M6" s="138">
        <v>17372.7</v>
      </c>
      <c r="N6" s="139">
        <f t="shared" si="2"/>
        <v>-28467.973547451948</v>
      </c>
      <c r="O6" s="134">
        <v>0.16399916727586</v>
      </c>
    </row>
    <row r="7" spans="2:15" ht="15.75" x14ac:dyDescent="0.25">
      <c r="G7" s="115" t="s">
        <v>94</v>
      </c>
      <c r="H7" s="85">
        <v>47869.319882429336</v>
      </c>
      <c r="I7" s="92">
        <v>1718.2113999999999</v>
      </c>
      <c r="J7" s="130">
        <v>135</v>
      </c>
      <c r="K7" s="92">
        <f t="shared" si="0"/>
        <v>31727.027783505153</v>
      </c>
      <c r="L7" s="94">
        <f t="shared" si="1"/>
        <v>81314.559065934489</v>
      </c>
      <c r="M7" s="138">
        <v>57359.55999999999</v>
      </c>
      <c r="N7" s="139">
        <f t="shared" si="2"/>
        <v>-34562.059065934489</v>
      </c>
      <c r="O7" s="134">
        <v>0.18492226927821614</v>
      </c>
    </row>
    <row r="8" spans="2:15" ht="15.75" x14ac:dyDescent="0.25">
      <c r="B8" s="106" t="s">
        <v>270</v>
      </c>
      <c r="C8" s="107"/>
      <c r="D8" s="107">
        <f>Planilha3!F81+Planilha3!F82</f>
        <v>26245.7258</v>
      </c>
      <c r="G8" s="115" t="s">
        <v>95</v>
      </c>
      <c r="H8" s="85">
        <v>35000.290214117646</v>
      </c>
      <c r="I8" s="92">
        <v>1718.2113999999999</v>
      </c>
      <c r="J8" s="130">
        <v>122</v>
      </c>
      <c r="K8" s="92">
        <f t="shared" si="0"/>
        <v>28671.832515463917</v>
      </c>
      <c r="L8" s="94">
        <f t="shared" si="1"/>
        <v>65390.334129581563</v>
      </c>
      <c r="M8" s="138">
        <v>67611.089999999982</v>
      </c>
      <c r="N8" s="139">
        <f t="shared" si="2"/>
        <v>-6428.3174629149144</v>
      </c>
      <c r="O8" s="134">
        <v>0.12792388546514094</v>
      </c>
    </row>
    <row r="9" spans="2:15" ht="15.75" x14ac:dyDescent="0.25">
      <c r="B9" s="42" t="s">
        <v>271</v>
      </c>
      <c r="C9" s="109"/>
      <c r="D9" s="109">
        <f>Planilha3!D81+Planilha3!D82</f>
        <v>243980.68740000005</v>
      </c>
      <c r="G9" s="115" t="s">
        <v>82</v>
      </c>
      <c r="H9" s="85">
        <f>47187.1892553535</f>
        <v>47187.1892553535</v>
      </c>
      <c r="I9" s="92">
        <v>3436.4227999999998</v>
      </c>
      <c r="J9" s="130">
        <v>97</v>
      </c>
      <c r="K9" s="92">
        <f t="shared" si="0"/>
        <v>22796.456999999999</v>
      </c>
      <c r="L9" s="94">
        <f t="shared" si="1"/>
        <v>73420.069055353495</v>
      </c>
      <c r="M9" s="138">
        <v>56968.500000000007</v>
      </c>
      <c r="N9" s="139">
        <f t="shared" si="2"/>
        <v>-25204.89905535349</v>
      </c>
      <c r="O9" s="134">
        <v>0.15365210598839707</v>
      </c>
    </row>
    <row r="10" spans="2:15" ht="15.75" x14ac:dyDescent="0.25">
      <c r="D10" s="81">
        <f>SUM(D8:D9)</f>
        <v>270226.41320000007</v>
      </c>
      <c r="G10" s="115"/>
      <c r="H10" s="85"/>
      <c r="I10" s="92"/>
      <c r="J10" s="130"/>
      <c r="K10" s="92"/>
      <c r="L10" s="94"/>
      <c r="M10" s="138"/>
      <c r="N10" s="139"/>
      <c r="O10" s="134"/>
    </row>
    <row r="11" spans="2:15" ht="15.75" x14ac:dyDescent="0.25">
      <c r="G11" s="115"/>
      <c r="H11" s="85"/>
      <c r="I11" s="92"/>
      <c r="J11" s="130"/>
      <c r="K11" s="92"/>
      <c r="L11" s="94"/>
      <c r="M11" s="138"/>
      <c r="N11" s="139"/>
      <c r="O11" s="134"/>
    </row>
    <row r="12" spans="2:15" ht="15.75" x14ac:dyDescent="0.25">
      <c r="B12" s="211" t="s">
        <v>272</v>
      </c>
      <c r="C12" s="211"/>
      <c r="D12" s="112">
        <f>D10+D5</f>
        <v>407005.15520000004</v>
      </c>
      <c r="G12" s="115"/>
      <c r="H12" s="85"/>
      <c r="I12" s="92"/>
      <c r="J12" s="130"/>
      <c r="K12" s="92"/>
      <c r="L12" s="94"/>
      <c r="M12" s="138"/>
      <c r="N12" s="139"/>
    </row>
    <row r="13" spans="2:15" x14ac:dyDescent="0.25">
      <c r="H13" s="81">
        <f t="shared" ref="H13:N13" si="3">SUM(H3:H12)</f>
        <v>225892.98778174599</v>
      </c>
      <c r="I13" s="81">
        <f t="shared" si="3"/>
        <v>16401.2042</v>
      </c>
      <c r="J13" s="131">
        <f t="shared" si="3"/>
        <v>582</v>
      </c>
      <c r="K13" s="81">
        <f t="shared" si="3"/>
        <v>136778.742</v>
      </c>
      <c r="L13" s="81">
        <f t="shared" si="3"/>
        <v>379072.93398174597</v>
      </c>
      <c r="M13" s="81">
        <f t="shared" si="3"/>
        <v>291767.82999999996</v>
      </c>
      <c r="N13" s="140">
        <f t="shared" si="3"/>
        <v>-126269.96231507935</v>
      </c>
    </row>
    <row r="14" spans="2:15" s="116" customFormat="1" x14ac:dyDescent="0.25">
      <c r="B14" s="208" t="s">
        <v>283</v>
      </c>
      <c r="C14" s="208"/>
      <c r="D14" s="208"/>
      <c r="E14" s="208"/>
      <c r="F14" s="208"/>
      <c r="G14" s="208"/>
      <c r="H14" s="117"/>
    </row>
    <row r="15" spans="2:15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22"/>
      <c r="J15" s="124"/>
      <c r="K15" s="123"/>
      <c r="L15" s="118"/>
    </row>
    <row r="16" spans="2:15" s="116" customFormat="1" ht="15.75" x14ac:dyDescent="0.25">
      <c r="B16" s="115" t="s">
        <v>92</v>
      </c>
      <c r="C16" s="85">
        <v>10802.81</v>
      </c>
      <c r="D16" s="125">
        <f t="shared" ref="D16:D22" si="4">((C16+(C16*-15%))/J3)</f>
        <v>296.20608064516125</v>
      </c>
      <c r="E16" s="128">
        <f>L3/D16</f>
        <v>59.396448089860982</v>
      </c>
      <c r="F16" s="128">
        <f>E16/1</f>
        <v>59.396448089860982</v>
      </c>
      <c r="G16" s="94">
        <f>E16*D16</f>
        <v>17593.589092941496</v>
      </c>
      <c r="H16" s="132"/>
      <c r="I16" s="117"/>
      <c r="J16" s="119"/>
      <c r="K16" s="119"/>
      <c r="L16" s="121"/>
    </row>
    <row r="17" spans="2:12" s="116" customFormat="1" ht="15.75" x14ac:dyDescent="0.25">
      <c r="B17" s="115" t="s">
        <v>93</v>
      </c>
      <c r="C17" s="85">
        <v>53636.149999999994</v>
      </c>
      <c r="D17" s="125">
        <f t="shared" si="4"/>
        <v>396.44110869565213</v>
      </c>
      <c r="E17" s="128">
        <f t="shared" ref="E17:E22" si="5">L4/D17</f>
        <v>156.1595854869125</v>
      </c>
      <c r="F17" s="128">
        <f>E17/4</f>
        <v>39.039896371728126</v>
      </c>
      <c r="G17" s="94">
        <f t="shared" ref="G17:G22" si="6">E17*D17</f>
        <v>61908.079203885063</v>
      </c>
      <c r="H17" s="132"/>
      <c r="I17" s="117"/>
      <c r="J17" s="119"/>
      <c r="K17" s="119"/>
      <c r="L17" s="121"/>
    </row>
    <row r="18" spans="2:12" s="116" customFormat="1" ht="15.75" x14ac:dyDescent="0.25">
      <c r="B18" s="115" t="s">
        <v>77</v>
      </c>
      <c r="C18" s="85">
        <v>28017.020000000004</v>
      </c>
      <c r="D18" s="125">
        <f t="shared" si="4"/>
        <v>553.8248139534885</v>
      </c>
      <c r="E18" s="128">
        <f t="shared" si="5"/>
        <v>65.823591326106282</v>
      </c>
      <c r="F18" s="128">
        <f>E18/5</f>
        <v>13.164718265221257</v>
      </c>
      <c r="G18" s="94">
        <f t="shared" si="6"/>
        <v>36454.738219931271</v>
      </c>
      <c r="H18" s="132"/>
      <c r="I18" s="117"/>
      <c r="J18" s="137"/>
      <c r="K18" s="119"/>
      <c r="L18" s="121"/>
    </row>
    <row r="19" spans="2:12" s="116" customFormat="1" ht="15.75" x14ac:dyDescent="0.25">
      <c r="B19" s="115" t="s">
        <v>78</v>
      </c>
      <c r="C19" s="85">
        <v>17372.7</v>
      </c>
      <c r="D19" s="125">
        <f t="shared" si="4"/>
        <v>378.63576923076926</v>
      </c>
      <c r="E19" s="128">
        <f t="shared" si="5"/>
        <v>113.54332767202537</v>
      </c>
      <c r="F19" s="128">
        <f>E19/4</f>
        <v>28.385831918006343</v>
      </c>
      <c r="G19" s="94">
        <f t="shared" si="6"/>
        <v>42991.565214118615</v>
      </c>
      <c r="H19" s="132"/>
      <c r="I19" s="117"/>
      <c r="J19" s="136"/>
      <c r="K19" s="119"/>
      <c r="L19" s="121"/>
    </row>
    <row r="20" spans="2:12" s="116" customFormat="1" ht="15.75" x14ac:dyDescent="0.25">
      <c r="B20" s="115" t="s">
        <v>94</v>
      </c>
      <c r="C20" s="85">
        <v>57359.55999999999</v>
      </c>
      <c r="D20" s="125">
        <f t="shared" si="4"/>
        <v>361.15278518518511</v>
      </c>
      <c r="E20" s="128">
        <f t="shared" si="5"/>
        <v>225.15279516462692</v>
      </c>
      <c r="F20" s="128">
        <f>E20/5</f>
        <v>45.030559032925382</v>
      </c>
      <c r="G20" s="94">
        <f t="shared" si="6"/>
        <v>81314.559065934489</v>
      </c>
      <c r="H20" s="132"/>
      <c r="I20" s="117"/>
      <c r="J20" s="119"/>
      <c r="K20" s="119"/>
      <c r="L20" s="121"/>
    </row>
    <row r="21" spans="2:12" s="116" customFormat="1" ht="15.75" x14ac:dyDescent="0.25">
      <c r="B21" s="115" t="s">
        <v>95</v>
      </c>
      <c r="C21" s="85">
        <v>67611.089999999982</v>
      </c>
      <c r="D21" s="125">
        <f t="shared" si="4"/>
        <v>471.06087295081954</v>
      </c>
      <c r="E21" s="128">
        <f t="shared" si="5"/>
        <v>138.81504044257258</v>
      </c>
      <c r="F21" s="128">
        <f>E21/5</f>
        <v>27.763008088514518</v>
      </c>
      <c r="G21" s="94">
        <f t="shared" si="6"/>
        <v>65390.334129581563</v>
      </c>
      <c r="H21" s="132"/>
      <c r="I21" s="117"/>
      <c r="J21" s="119"/>
      <c r="K21" s="119"/>
      <c r="L21" s="121"/>
    </row>
    <row r="22" spans="2:12" s="116" customFormat="1" ht="15.75" x14ac:dyDescent="0.25">
      <c r="B22" s="115" t="s">
        <v>82</v>
      </c>
      <c r="C22" s="85">
        <v>56968.500000000007</v>
      </c>
      <c r="D22" s="125">
        <f t="shared" si="4"/>
        <v>499.20850515463923</v>
      </c>
      <c r="E22" s="128">
        <f t="shared" si="5"/>
        <v>147.07295307921535</v>
      </c>
      <c r="F22" s="128">
        <f>E22/5</f>
        <v>29.414590615843071</v>
      </c>
      <c r="G22" s="94">
        <f t="shared" si="6"/>
        <v>73420.069055353495</v>
      </c>
      <c r="H22" s="132"/>
      <c r="I22" s="117"/>
      <c r="J22" s="119"/>
      <c r="K22" s="119"/>
      <c r="L22" s="121"/>
    </row>
    <row r="23" spans="2:12" s="116" customFormat="1" x14ac:dyDescent="0.25">
      <c r="B23"/>
      <c r="C23" s="81">
        <f>SUM(C16:C22)</f>
        <v>291767.82999999996</v>
      </c>
      <c r="D23" s="117"/>
      <c r="E23" s="129">
        <f>SUM(E16:E22)</f>
        <v>905.96374126132002</v>
      </c>
      <c r="F23" s="129">
        <f>SUM(F16:F22)</f>
        <v>242.19505238209968</v>
      </c>
      <c r="G23" s="101">
        <f>SUM(G16:G22)</f>
        <v>379072.93398174597</v>
      </c>
      <c r="H23" s="122"/>
      <c r="I23" s="122"/>
      <c r="J23" s="119"/>
      <c r="K23" s="122"/>
      <c r="L23" s="122"/>
    </row>
    <row r="24" spans="2:12" s="116" customFormat="1" x14ac:dyDescent="0.25">
      <c r="B24"/>
      <c r="C24" s="81"/>
      <c r="D24" s="117"/>
      <c r="E24" s="117"/>
      <c r="F24" s="117"/>
      <c r="G24" s="101"/>
      <c r="H24" s="122"/>
      <c r="I24" s="122"/>
      <c r="J24" s="119"/>
      <c r="K24" s="122"/>
      <c r="L24" s="122"/>
    </row>
    <row r="25" spans="2:12" s="116" customFormat="1" x14ac:dyDescent="0.25">
      <c r="B25" s="208" t="s">
        <v>284</v>
      </c>
      <c r="C25" s="208"/>
      <c r="D25" s="208"/>
      <c r="E25" s="208"/>
      <c r="F25" s="208"/>
      <c r="G25" s="208"/>
      <c r="H25" s="117"/>
    </row>
    <row r="26" spans="2:12" x14ac:dyDescent="0.25">
      <c r="B26" s="114" t="s">
        <v>275</v>
      </c>
      <c r="C26" s="114" t="s">
        <v>280</v>
      </c>
      <c r="D26" s="126" t="s">
        <v>277</v>
      </c>
      <c r="E26" s="114" t="s">
        <v>281</v>
      </c>
      <c r="F26" s="127" t="s">
        <v>278</v>
      </c>
      <c r="G26" s="114" t="s">
        <v>198</v>
      </c>
    </row>
    <row r="27" spans="2:12" ht="15.75" x14ac:dyDescent="0.25">
      <c r="B27" s="115" t="s">
        <v>92</v>
      </c>
      <c r="C27" s="133">
        <v>2</v>
      </c>
      <c r="D27" s="125">
        <f>((C16+(C16*-2.4%)))/J3</f>
        <v>340.11427612903225</v>
      </c>
      <c r="E27" s="141">
        <v>1.3522870438339654E-2</v>
      </c>
      <c r="F27" s="128">
        <f>L3/D27</f>
        <v>51.728464012686302</v>
      </c>
      <c r="G27" s="94">
        <f>F27*D27</f>
        <v>17593.589092941496</v>
      </c>
    </row>
    <row r="28" spans="2:12" ht="15.75" x14ac:dyDescent="0.25">
      <c r="B28" s="115" t="s">
        <v>93</v>
      </c>
      <c r="C28" s="133">
        <v>10</v>
      </c>
      <c r="D28" s="125">
        <f>((C17+(C17*-7.5%))/J4)</f>
        <v>431.42120652173907</v>
      </c>
      <c r="E28" s="141">
        <v>6.5183649460298712E-2</v>
      </c>
      <c r="F28" s="128">
        <f>(L4/D28)/4</f>
        <v>35.874499368615041</v>
      </c>
      <c r="G28" s="94">
        <f>(F28*D28)*4</f>
        <v>61908.07920388507</v>
      </c>
    </row>
    <row r="29" spans="2:12" ht="15.75" x14ac:dyDescent="0.25">
      <c r="B29" s="115" t="s">
        <v>77</v>
      </c>
      <c r="C29" s="133">
        <v>12</v>
      </c>
      <c r="D29" s="125">
        <f>((C18+(C18*-16.9%))/J5)</f>
        <v>541.44520046511639</v>
      </c>
      <c r="E29" s="141">
        <v>0.15933177999182874</v>
      </c>
      <c r="F29" s="128">
        <f>(L5/D29)/5</f>
        <v>13.465716637109589</v>
      </c>
      <c r="G29" s="94">
        <f>(F29*D29)*5</f>
        <v>36454.738219931271</v>
      </c>
    </row>
    <row r="30" spans="2:12" ht="15.75" x14ac:dyDescent="0.25">
      <c r="B30" s="115" t="s">
        <v>78</v>
      </c>
      <c r="C30" s="133">
        <v>7</v>
      </c>
      <c r="D30" s="125">
        <f>((C19+(C19*-17.4%))/J6)</f>
        <v>367.94487692307695</v>
      </c>
      <c r="E30" s="141">
        <v>0.16399916727586</v>
      </c>
      <c r="F30" s="128">
        <f>(L6/D30)/4</f>
        <v>29.210601852669964</v>
      </c>
      <c r="G30" s="94">
        <f t="shared" ref="G30" si="7">(F30*D30)*4</f>
        <v>42991.565214118615</v>
      </c>
    </row>
    <row r="31" spans="2:12" ht="15.75" x14ac:dyDescent="0.25">
      <c r="B31" s="115" t="s">
        <v>94</v>
      </c>
      <c r="C31" s="133">
        <v>38</v>
      </c>
      <c r="D31" s="125">
        <f>((C20+(C20*-19.5%))/J7)</f>
        <v>342.0329318518518</v>
      </c>
      <c r="E31" s="141">
        <v>0.18492226927821614</v>
      </c>
      <c r="F31" s="128">
        <f>(L7/D31)/5</f>
        <v>47.547795252157229</v>
      </c>
      <c r="G31" s="94">
        <f>(F31*D31)*5</f>
        <v>81314.559065934474</v>
      </c>
    </row>
    <row r="32" spans="2:12" ht="15.75" x14ac:dyDescent="0.25">
      <c r="B32" s="115" t="s">
        <v>95</v>
      </c>
      <c r="C32" s="133">
        <v>17</v>
      </c>
      <c r="D32" s="125">
        <f>((C21+(C21*-13.8%))/J8)</f>
        <v>477.71114409836053</v>
      </c>
      <c r="E32" s="141">
        <v>0.12792388546514094</v>
      </c>
      <c r="F32" s="128">
        <f>(L8/D32)/5</f>
        <v>27.376516096563041</v>
      </c>
      <c r="G32" s="94">
        <f>(F32*D32)*5</f>
        <v>65390.33412958157</v>
      </c>
    </row>
    <row r="33" spans="2:11" ht="15.75" x14ac:dyDescent="0.25">
      <c r="B33" s="115" t="s">
        <v>82</v>
      </c>
      <c r="C33" s="133">
        <v>17</v>
      </c>
      <c r="D33" s="125">
        <f>((C22+(C22*-16.4%))/J9)</f>
        <v>490.98624742268044</v>
      </c>
      <c r="E33" s="141">
        <v>0.15365210598839707</v>
      </c>
      <c r="F33" s="128">
        <f>(L9/D33)/5</f>
        <v>29.907179453907428</v>
      </c>
      <c r="G33" s="94">
        <f>(F33*D33)*5</f>
        <v>73420.069055353495</v>
      </c>
    </row>
    <row r="34" spans="2:11" x14ac:dyDescent="0.25">
      <c r="F34" s="129">
        <f>SUM(F26:F33)</f>
        <v>235.11077267370862</v>
      </c>
      <c r="G34" s="101">
        <f>SUM(G27:G33)</f>
        <v>379072.93398174597</v>
      </c>
    </row>
    <row r="35" spans="2:11" x14ac:dyDescent="0.25">
      <c r="G35" s="101"/>
    </row>
    <row r="36" spans="2:11" x14ac:dyDescent="0.25">
      <c r="B36" s="208" t="s">
        <v>285</v>
      </c>
      <c r="C36" s="208"/>
      <c r="D36" s="208"/>
      <c r="E36" s="208"/>
      <c r="F36" s="208"/>
      <c r="G36" s="208"/>
    </row>
    <row r="37" spans="2:11" x14ac:dyDescent="0.25">
      <c r="B37" s="114" t="s">
        <v>275</v>
      </c>
      <c r="C37" s="114" t="s">
        <v>282</v>
      </c>
      <c r="D37" s="126" t="s">
        <v>277</v>
      </c>
      <c r="E37" s="127" t="s">
        <v>278</v>
      </c>
      <c r="F37" s="127" t="s">
        <v>278</v>
      </c>
      <c r="G37" s="114" t="s">
        <v>198</v>
      </c>
      <c r="H37"/>
    </row>
    <row r="38" spans="2:11" ht="15.75" x14ac:dyDescent="0.25">
      <c r="B38" s="150" t="s">
        <v>92</v>
      </c>
      <c r="C38" s="144">
        <v>0.17</v>
      </c>
      <c r="D38" s="148">
        <f>((C16+(C16*-18%))/J3)</f>
        <v>285.75174838709671</v>
      </c>
      <c r="E38" s="149">
        <f t="shared" ref="E38:E44" si="8">L3/D38</f>
        <v>61.569488873636388</v>
      </c>
      <c r="F38" s="149">
        <f>E38/1</f>
        <v>61.569488873636388</v>
      </c>
      <c r="G38" s="94">
        <f>E38*D38</f>
        <v>17593.589092941496</v>
      </c>
      <c r="H38" s="145"/>
      <c r="I38" s="146"/>
      <c r="J38" s="146"/>
      <c r="K38" s="146"/>
    </row>
    <row r="39" spans="2:11" ht="15.75" x14ac:dyDescent="0.25">
      <c r="B39" s="150" t="s">
        <v>93</v>
      </c>
      <c r="C39" s="144">
        <v>0.15</v>
      </c>
      <c r="D39" s="148">
        <f>((C17+(C17*-16%))/J4)</f>
        <v>391.77709565217384</v>
      </c>
      <c r="E39" s="149">
        <f t="shared" si="8"/>
        <v>158.01862817128054</v>
      </c>
      <c r="F39" s="149">
        <f>E39/4</f>
        <v>39.504657042820135</v>
      </c>
      <c r="G39" s="94">
        <f>(F39*D39)*4</f>
        <v>61908.07920388507</v>
      </c>
      <c r="H39" s="145"/>
      <c r="I39" s="146"/>
      <c r="J39" s="146"/>
      <c r="K39" s="146"/>
    </row>
    <row r="40" spans="2:11" ht="15.75" x14ac:dyDescent="0.25">
      <c r="B40" s="150" t="s">
        <v>77</v>
      </c>
      <c r="C40" s="144">
        <v>0.46</v>
      </c>
      <c r="D40" s="148">
        <f>((C18+(C18*-47%))/J5)</f>
        <v>345.32606046511637</v>
      </c>
      <c r="E40" s="149">
        <f t="shared" si="8"/>
        <v>105.5661370324346</v>
      </c>
      <c r="F40" s="149">
        <f>E40/5</f>
        <v>21.113227406486921</v>
      </c>
      <c r="G40" s="94">
        <f>(F40*D40)*5</f>
        <v>36454.738219931271</v>
      </c>
      <c r="H40" s="145"/>
      <c r="I40" s="146"/>
      <c r="J40" s="146"/>
      <c r="K40" s="146"/>
    </row>
    <row r="41" spans="2:11" ht="15.75" x14ac:dyDescent="0.25">
      <c r="B41" s="150" t="s">
        <v>78</v>
      </c>
      <c r="C41" s="144">
        <v>0.19</v>
      </c>
      <c r="D41" s="148">
        <f>((C19+(C19*-20%))/J6)</f>
        <v>356.3630769230769</v>
      </c>
      <c r="E41" s="149">
        <f t="shared" si="8"/>
        <v>120.63978565152696</v>
      </c>
      <c r="F41" s="149">
        <f>E41/4</f>
        <v>30.159946412881741</v>
      </c>
      <c r="G41" s="94">
        <f t="shared" ref="G41" si="9">(F41*D41)*4</f>
        <v>42991.565214118615</v>
      </c>
      <c r="H41"/>
    </row>
    <row r="42" spans="2:11" ht="15.75" x14ac:dyDescent="0.25">
      <c r="B42" s="150" t="s">
        <v>94</v>
      </c>
      <c r="C42" s="144">
        <v>0.23</v>
      </c>
      <c r="D42" s="148">
        <f>((C20+(C20*-24%))/J7)</f>
        <v>322.91307851851843</v>
      </c>
      <c r="E42" s="149">
        <f t="shared" si="8"/>
        <v>251.81562617096432</v>
      </c>
      <c r="F42" s="149">
        <f>E42/5</f>
        <v>50.363125234192864</v>
      </c>
      <c r="G42" s="94">
        <f>(F42*D42)*5</f>
        <v>81314.559065934489</v>
      </c>
      <c r="H42" s="145"/>
      <c r="I42" s="146"/>
      <c r="J42" s="146"/>
      <c r="K42" s="146"/>
    </row>
    <row r="43" spans="2:11" ht="15.75" x14ac:dyDescent="0.25">
      <c r="B43" s="150" t="s">
        <v>95</v>
      </c>
      <c r="C43" s="144">
        <v>0.19</v>
      </c>
      <c r="D43" s="148">
        <f>((C21+(C21*-20%))/J8)</f>
        <v>443.3514098360655</v>
      </c>
      <c r="E43" s="149">
        <f t="shared" si="8"/>
        <v>147.49098047023335</v>
      </c>
      <c r="F43" s="149">
        <f>E43/5</f>
        <v>29.498196094046669</v>
      </c>
      <c r="G43" s="94">
        <f>(F43*D43)*5</f>
        <v>65390.334129581563</v>
      </c>
      <c r="H43" s="145"/>
      <c r="I43" s="146"/>
      <c r="J43" s="146"/>
      <c r="K43" s="146"/>
    </row>
    <row r="44" spans="2:11" ht="15.75" x14ac:dyDescent="0.25">
      <c r="B44" s="150" t="s">
        <v>82</v>
      </c>
      <c r="C44" s="135">
        <v>0.36</v>
      </c>
      <c r="D44" s="85">
        <f>((C22+(C22*-37%))/J9)</f>
        <v>370.00159793814441</v>
      </c>
      <c r="E44" s="151">
        <f t="shared" si="8"/>
        <v>198.43176209100483</v>
      </c>
      <c r="F44" s="151">
        <f>E44/5</f>
        <v>39.686352418200968</v>
      </c>
      <c r="G44" s="94">
        <f>(F44*D44)*5</f>
        <v>73420.069055353495</v>
      </c>
      <c r="H44" s="145"/>
      <c r="I44" s="146"/>
      <c r="J44" s="146"/>
      <c r="K44" s="146"/>
    </row>
    <row r="45" spans="2:11" x14ac:dyDescent="0.25">
      <c r="E45" s="129">
        <f>SUM(E38:E44)</f>
        <v>1043.5324084610811</v>
      </c>
      <c r="F45" s="129">
        <f>SUM(F38:F44)</f>
        <v>271.8949934822657</v>
      </c>
      <c r="G45" s="101">
        <f>SUM(G38:G44)</f>
        <v>379072.93398174597</v>
      </c>
      <c r="H45"/>
    </row>
    <row r="48" spans="2:11" x14ac:dyDescent="0.25">
      <c r="B48" s="208" t="s">
        <v>286</v>
      </c>
      <c r="C48" s="208"/>
      <c r="D48" s="208"/>
      <c r="E48" s="208"/>
      <c r="F48" s="208"/>
      <c r="G48" s="208"/>
    </row>
    <row r="49" spans="2:9" x14ac:dyDescent="0.25">
      <c r="B49" s="114" t="s">
        <v>275</v>
      </c>
      <c r="C49" s="114" t="s">
        <v>276</v>
      </c>
      <c r="D49" s="126" t="s">
        <v>277</v>
      </c>
      <c r="E49" s="127" t="s">
        <v>278</v>
      </c>
      <c r="F49" s="127" t="s">
        <v>278</v>
      </c>
      <c r="G49" s="114" t="s">
        <v>198</v>
      </c>
    </row>
    <row r="50" spans="2:9" ht="15.75" x14ac:dyDescent="0.25">
      <c r="B50" s="115" t="s">
        <v>92</v>
      </c>
      <c r="C50" s="85">
        <v>10802.81</v>
      </c>
      <c r="D50" s="125">
        <f>((C16+(C16*-32%))/J3)</f>
        <v>236.96486451612901</v>
      </c>
      <c r="E50" s="128">
        <f t="shared" ref="E50:E58" si="10">L3/D50</f>
        <v>74.245560112326231</v>
      </c>
      <c r="F50" s="128">
        <f>E50/1</f>
        <v>74.245560112326231</v>
      </c>
      <c r="G50" s="94">
        <f>E50*D50</f>
        <v>17593.589092941496</v>
      </c>
    </row>
    <row r="51" spans="2:9" ht="15.75" x14ac:dyDescent="0.25">
      <c r="B51" s="115" t="s">
        <v>93</v>
      </c>
      <c r="C51" s="85">
        <v>53636.149999999994</v>
      </c>
      <c r="D51" s="125">
        <f>((C17+(C17*-30%))/J4)</f>
        <v>326.48091304347821</v>
      </c>
      <c r="E51" s="128">
        <f t="shared" si="10"/>
        <v>189.62235380553662</v>
      </c>
      <c r="F51" s="128">
        <f>E51/4</f>
        <v>47.405588451384155</v>
      </c>
      <c r="G51" s="94">
        <f>(F51*D51)*4</f>
        <v>61908.079203885063</v>
      </c>
    </row>
    <row r="52" spans="2:9" ht="15.75" x14ac:dyDescent="0.25">
      <c r="B52" s="115" t="s">
        <v>77</v>
      </c>
      <c r="C52" s="85">
        <v>28017.020000000004</v>
      </c>
      <c r="D52" s="125">
        <f>((C18+(C18*-61%))/J5)</f>
        <v>254.10785581395351</v>
      </c>
      <c r="E52" s="128">
        <f t="shared" si="10"/>
        <v>143.46167340305217</v>
      </c>
      <c r="F52" s="128">
        <f>E52/5</f>
        <v>28.692334680610436</v>
      </c>
      <c r="G52" s="94">
        <f>(F52*D52)*5</f>
        <v>36454.738219931271</v>
      </c>
    </row>
    <row r="53" spans="2:9" ht="15.75" x14ac:dyDescent="0.25">
      <c r="B53" s="115" t="s">
        <v>78</v>
      </c>
      <c r="C53" s="85">
        <v>17372.7</v>
      </c>
      <c r="D53" s="125">
        <f>((C19+(C19*-34%))/J6)</f>
        <v>293.99953846153846</v>
      </c>
      <c r="E53" s="128">
        <f t="shared" si="10"/>
        <v>146.23004321397207</v>
      </c>
      <c r="F53" s="128">
        <f>E53/4</f>
        <v>36.557510803493017</v>
      </c>
      <c r="G53" s="94">
        <f t="shared" ref="G53" si="11">(F53*D53)*4</f>
        <v>42991.565214118615</v>
      </c>
    </row>
    <row r="54" spans="2:9" ht="15.75" x14ac:dyDescent="0.25">
      <c r="B54" s="115" t="s">
        <v>94</v>
      </c>
      <c r="C54" s="85">
        <v>57359.55999999999</v>
      </c>
      <c r="D54" s="125">
        <f>((C20+(C20*-38%))/J7)</f>
        <v>263.42909037037032</v>
      </c>
      <c r="E54" s="128">
        <f t="shared" si="10"/>
        <v>308.67721917731109</v>
      </c>
      <c r="F54" s="128">
        <f>E54/5</f>
        <v>61.73544383546222</v>
      </c>
      <c r="G54" s="94">
        <f>(F54*D54)*5</f>
        <v>81314.559065934489</v>
      </c>
    </row>
    <row r="55" spans="2:9" ht="15.75" x14ac:dyDescent="0.25">
      <c r="B55" s="115" t="s">
        <v>95</v>
      </c>
      <c r="C55" s="85">
        <v>67611.089999999982</v>
      </c>
      <c r="D55" s="125">
        <f>((C21+(C21*-34%))/J8)</f>
        <v>365.76491311475399</v>
      </c>
      <c r="E55" s="128">
        <f t="shared" si="10"/>
        <v>178.7769460245253</v>
      </c>
      <c r="F55" s="128">
        <f>E55/5</f>
        <v>35.755389204905057</v>
      </c>
      <c r="G55" s="94">
        <f>(F55*D55)*5</f>
        <v>65390.334129581563</v>
      </c>
    </row>
    <row r="56" spans="2:9" ht="15.75" x14ac:dyDescent="0.25">
      <c r="B56" s="115" t="s">
        <v>82</v>
      </c>
      <c r="C56" s="85">
        <v>56968.500000000007</v>
      </c>
      <c r="D56" s="125">
        <f>((C22+(C22*-51%))/J9)</f>
        <v>287.77902061855673</v>
      </c>
      <c r="E56" s="128">
        <f t="shared" si="10"/>
        <v>255.12655125986339</v>
      </c>
      <c r="F56" s="128">
        <f>E56/5</f>
        <v>51.025310251972677</v>
      </c>
      <c r="G56" s="94">
        <f>(F56*D56)*5</f>
        <v>73420.069055353495</v>
      </c>
    </row>
    <row r="57" spans="2:9" ht="15.75" x14ac:dyDescent="0.25">
      <c r="B57" s="115" t="s">
        <v>96</v>
      </c>
      <c r="C57" s="85">
        <v>841.51</v>
      </c>
      <c r="D57" s="125" t="e">
        <f>((#REF!+(#REF!*-45%))/J10)</f>
        <v>#REF!</v>
      </c>
      <c r="E57" s="128" t="e">
        <f t="shared" si="10"/>
        <v>#REF!</v>
      </c>
      <c r="F57" s="128" t="e">
        <f>E57/4</f>
        <v>#REF!</v>
      </c>
      <c r="G57" s="94" t="e">
        <f t="shared" ref="G57:G58" si="12">(F57*D57)*4</f>
        <v>#REF!</v>
      </c>
    </row>
    <row r="58" spans="2:9" ht="15.75" x14ac:dyDescent="0.25">
      <c r="B58" s="115" t="s">
        <v>97</v>
      </c>
      <c r="C58" s="85">
        <v>2284.8900000000003</v>
      </c>
      <c r="D58" s="125" t="e">
        <f>((#REF!+(#REF!*-75%))/J11)</f>
        <v>#REF!</v>
      </c>
      <c r="E58" s="128" t="e">
        <f t="shared" si="10"/>
        <v>#REF!</v>
      </c>
      <c r="F58" s="128" t="e">
        <f>E58/4</f>
        <v>#REF!</v>
      </c>
      <c r="G58" s="94" t="e">
        <f t="shared" si="12"/>
        <v>#REF!</v>
      </c>
    </row>
    <row r="59" spans="2:9" x14ac:dyDescent="0.25">
      <c r="C59" s="81">
        <f>SUM(C50:C58)</f>
        <v>294894.23</v>
      </c>
      <c r="E59" s="129" t="e">
        <f>SUM(E50:E58)</f>
        <v>#REF!</v>
      </c>
      <c r="F59" s="129" t="e">
        <f>SUM(F50:F58)</f>
        <v>#REF!</v>
      </c>
      <c r="G59" s="101" t="e">
        <f>SUM(G50:G58)</f>
        <v>#REF!</v>
      </c>
    </row>
    <row r="62" spans="2:9" x14ac:dyDescent="0.25">
      <c r="B62" s="208" t="s">
        <v>287</v>
      </c>
      <c r="C62" s="208"/>
      <c r="D62" s="208"/>
      <c r="E62" s="208"/>
      <c r="F62" s="208"/>
      <c r="G62" s="208"/>
    </row>
    <row r="63" spans="2:9" x14ac:dyDescent="0.25">
      <c r="B63" s="114" t="s">
        <v>275</v>
      </c>
      <c r="C63" s="114" t="s">
        <v>276</v>
      </c>
      <c r="D63" s="126" t="s">
        <v>277</v>
      </c>
      <c r="E63" s="127" t="s">
        <v>278</v>
      </c>
      <c r="F63" s="127" t="s">
        <v>278</v>
      </c>
      <c r="G63" s="114" t="s">
        <v>198</v>
      </c>
    </row>
    <row r="64" spans="2:9" ht="15.75" x14ac:dyDescent="0.25">
      <c r="B64" s="115" t="s">
        <v>92</v>
      </c>
      <c r="C64" s="85">
        <v>10802.81</v>
      </c>
      <c r="D64" s="125">
        <f>((C16+(C16*-19.4%))/J3)</f>
        <v>280.87306000000001</v>
      </c>
      <c r="E64" s="128">
        <f t="shared" ref="E64:E72" si="13">L3/D64</f>
        <v>62.638934089803755</v>
      </c>
      <c r="F64" s="128">
        <f>E64/1</f>
        <v>62.638934089803755</v>
      </c>
      <c r="G64" s="94">
        <f>E64*D64</f>
        <v>17593.589092941496</v>
      </c>
      <c r="I64" s="142"/>
    </row>
    <row r="65" spans="2:9" ht="15.75" x14ac:dyDescent="0.25">
      <c r="B65" s="115" t="s">
        <v>93</v>
      </c>
      <c r="C65" s="85">
        <v>53636.149999999994</v>
      </c>
      <c r="D65" s="125">
        <f>((C17+(C17*-21.5%))/J4)</f>
        <v>366.12502391304349</v>
      </c>
      <c r="E65" s="128">
        <f t="shared" si="13"/>
        <v>169.08999702404537</v>
      </c>
      <c r="F65" s="128">
        <f>E65/4</f>
        <v>42.272499256011344</v>
      </c>
      <c r="G65" s="94">
        <f>(F65*D65)*4</f>
        <v>61908.079203885063</v>
      </c>
      <c r="I65" s="142"/>
    </row>
    <row r="66" spans="2:9" ht="15.75" x14ac:dyDescent="0.25">
      <c r="B66" s="115" t="s">
        <v>77</v>
      </c>
      <c r="C66" s="85">
        <v>28017.020000000004</v>
      </c>
      <c r="D66" s="125">
        <f>((C18+(C18*-62%))/J5)</f>
        <v>247.59226976744185</v>
      </c>
      <c r="E66" s="128">
        <f t="shared" si="13"/>
        <v>147.23698059786935</v>
      </c>
      <c r="F66" s="128">
        <f>E66/5</f>
        <v>29.44739611957387</v>
      </c>
      <c r="G66" s="94">
        <f>(F66*D66)*5</f>
        <v>36454.738219931271</v>
      </c>
      <c r="I66" s="142"/>
    </row>
    <row r="67" spans="2:9" ht="15.75" x14ac:dyDescent="0.25">
      <c r="B67" s="115" t="s">
        <v>78</v>
      </c>
      <c r="C67" s="85">
        <v>17372.7</v>
      </c>
      <c r="D67" s="125">
        <f>((C19+(C19*-35.4%))/J6)</f>
        <v>287.76318461538466</v>
      </c>
      <c r="E67" s="128">
        <f t="shared" si="13"/>
        <v>149.39911535792811</v>
      </c>
      <c r="F67" s="128">
        <f>E67/4</f>
        <v>37.349778839482028</v>
      </c>
      <c r="G67" s="94">
        <f t="shared" ref="G67" si="14">(F67*D67)*4</f>
        <v>42991.565214118615</v>
      </c>
      <c r="I67" s="142"/>
    </row>
    <row r="68" spans="2:9" ht="15.75" x14ac:dyDescent="0.25">
      <c r="B68" s="115" t="s">
        <v>94</v>
      </c>
      <c r="C68" s="85">
        <v>57359.55999999999</v>
      </c>
      <c r="D68" s="125">
        <f>((C20+(C20*-41.5%))/J7)</f>
        <v>248.55809333333332</v>
      </c>
      <c r="E68" s="128">
        <f t="shared" si="13"/>
        <v>327.14508699133819</v>
      </c>
      <c r="F68" s="128">
        <f>E68/5</f>
        <v>65.429017398267632</v>
      </c>
      <c r="G68" s="94">
        <f>(F68*D68)*5</f>
        <v>81314.559065934474</v>
      </c>
      <c r="I68" s="142"/>
    </row>
    <row r="69" spans="2:9" ht="15.75" x14ac:dyDescent="0.25">
      <c r="B69" s="115" t="s">
        <v>95</v>
      </c>
      <c r="C69" s="85">
        <v>67611.089999999982</v>
      </c>
      <c r="D69" s="125">
        <f>((C21+(C21*-31.8%))/J8)</f>
        <v>377.95707688524584</v>
      </c>
      <c r="E69" s="128">
        <f t="shared" si="13"/>
        <v>173.00994776566964</v>
      </c>
      <c r="F69" s="128">
        <f>E69/5</f>
        <v>34.601989553133926</v>
      </c>
      <c r="G69" s="94">
        <f>(F69*D69)*5</f>
        <v>65390.334129581563</v>
      </c>
      <c r="I69" s="142"/>
    </row>
    <row r="70" spans="2:9" ht="15.75" x14ac:dyDescent="0.25">
      <c r="B70" s="115" t="s">
        <v>82</v>
      </c>
      <c r="C70" s="85">
        <v>56968.500000000007</v>
      </c>
      <c r="D70" s="125">
        <f>((C22+(C22*-51.4%))/J9)</f>
        <v>285.42980412371139</v>
      </c>
      <c r="E70" s="128">
        <f t="shared" si="13"/>
        <v>257.22635826611736</v>
      </c>
      <c r="F70" s="128">
        <f>E70/5</f>
        <v>51.445271653223472</v>
      </c>
      <c r="G70" s="94">
        <f>(F70*D70)*5</f>
        <v>73420.069055353495</v>
      </c>
      <c r="I70" s="142"/>
    </row>
    <row r="71" spans="2:9" ht="15.75" x14ac:dyDescent="0.25">
      <c r="B71" s="115" t="s">
        <v>96</v>
      </c>
      <c r="C71" s="85">
        <v>841.51</v>
      </c>
      <c r="D71" s="125" t="e">
        <f>((#REF!+(#REF!*-62.5%))/J10)</f>
        <v>#REF!</v>
      </c>
      <c r="E71" s="128" t="e">
        <f t="shared" si="13"/>
        <v>#REF!</v>
      </c>
      <c r="F71" s="128" t="e">
        <f>E71/4</f>
        <v>#REF!</v>
      </c>
      <c r="G71" s="94" t="e">
        <f t="shared" ref="G71:G72" si="15">(F71*D71)*4</f>
        <v>#REF!</v>
      </c>
      <c r="I71" s="142"/>
    </row>
    <row r="72" spans="2:9" ht="15.75" x14ac:dyDescent="0.25">
      <c r="B72" s="115" t="s">
        <v>97</v>
      </c>
      <c r="C72" s="85">
        <v>2284.8900000000003</v>
      </c>
      <c r="D72" s="125" t="e">
        <f>((#REF!+(#REF!*-75%))/J11)</f>
        <v>#REF!</v>
      </c>
      <c r="E72" s="128" t="e">
        <f t="shared" si="13"/>
        <v>#REF!</v>
      </c>
      <c r="F72" s="128" t="e">
        <f>E72/4</f>
        <v>#REF!</v>
      </c>
      <c r="G72" s="94" t="e">
        <f t="shared" si="15"/>
        <v>#REF!</v>
      </c>
      <c r="I72" s="142"/>
    </row>
    <row r="73" spans="2:9" x14ac:dyDescent="0.25">
      <c r="C73" s="81">
        <f>SUM(C64:C72)</f>
        <v>294894.23</v>
      </c>
      <c r="E73" s="129" t="e">
        <f>SUM(E64:E72)</f>
        <v>#REF!</v>
      </c>
      <c r="F73" s="129" t="e">
        <f>SUM(F64:F72)</f>
        <v>#REF!</v>
      </c>
      <c r="G73" s="101" t="e">
        <f>SUM(G64:G72)</f>
        <v>#REF!</v>
      </c>
    </row>
  </sheetData>
  <mergeCells count="7">
    <mergeCell ref="B62:G62"/>
    <mergeCell ref="B5:C5"/>
    <mergeCell ref="B12:C12"/>
    <mergeCell ref="B14:G14"/>
    <mergeCell ref="B25:G25"/>
    <mergeCell ref="B36:G36"/>
    <mergeCell ref="B48:G48"/>
  </mergeCells>
  <pageMargins left="0.51181102362204722" right="0.51181102362204722" top="0.78740157480314965" bottom="0.78740157480314965" header="0.31496062992125984" footer="0.31496062992125984"/>
  <pageSetup paperSize="9" scale="48" orientation="portrait" r:id="rId1"/>
  <rowBreaks count="1" manualBreakCount="1">
    <brk id="35" min="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80"/>
  <sheetViews>
    <sheetView topLeftCell="A27" zoomScale="85" zoomScaleNormal="85" workbookViewId="0">
      <selection activeCell="A43" sqref="A43"/>
    </sheetView>
  </sheetViews>
  <sheetFormatPr defaultRowHeight="15" x14ac:dyDescent="0.25"/>
  <cols>
    <col min="1" max="1" width="3.42578125" customWidth="1"/>
    <col min="2" max="2" width="31.5703125" bestFit="1" customWidth="1"/>
    <col min="3" max="3" width="15.140625" style="82" bestFit="1" customWidth="1"/>
    <col min="4" max="4" width="16" style="82" bestFit="1" customWidth="1"/>
    <col min="5" max="5" width="6.42578125" bestFit="1" customWidth="1"/>
    <col min="6" max="6" width="4.28515625" bestFit="1" customWidth="1"/>
    <col min="7" max="7" width="26" bestFit="1" customWidth="1"/>
    <col min="8" max="8" width="15.140625" style="82" bestFit="1" customWidth="1"/>
    <col min="9" max="9" width="13.85546875" bestFit="1" customWidth="1"/>
    <col min="10" max="10" width="8.42578125" bestFit="1" customWidth="1"/>
    <col min="11" max="14" width="15.140625" bestFit="1" customWidth="1"/>
    <col min="15" max="15" width="4.7109375" bestFit="1" customWidth="1"/>
  </cols>
  <sheetData>
    <row r="1" spans="2:15" x14ac:dyDescent="0.25">
      <c r="C1" s="83" t="s">
        <v>88</v>
      </c>
      <c r="D1" s="83" t="s">
        <v>89</v>
      </c>
    </row>
    <row r="2" spans="2:15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5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7078.6995025041733</v>
      </c>
      <c r="L3" s="94">
        <f>H3+I3+K3</f>
        <v>17386.822956270411</v>
      </c>
      <c r="M3" s="138">
        <v>10802.81</v>
      </c>
      <c r="N3" s="139">
        <f>(M3-(M3*O3))-L3</f>
        <v>-6730.0979562704106</v>
      </c>
      <c r="O3" s="134">
        <v>1.3522870438339654E-2</v>
      </c>
    </row>
    <row r="4" spans="2:15" ht="15.75" x14ac:dyDescent="0.25">
      <c r="B4" s="42" t="s">
        <v>91</v>
      </c>
      <c r="C4" s="109"/>
      <c r="D4" s="109">
        <f>Planilha3!E81+Planilha3!E82</f>
        <v>101932.95199999999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12" si="0">J4*$D$6</f>
        <v>26259.691702838063</v>
      </c>
      <c r="L4" s="94">
        <f t="shared" ref="L4:L12" si="1">H4+I4+K4</f>
        <v>61141.04353558911</v>
      </c>
      <c r="M4" s="138">
        <v>53636.149999999994</v>
      </c>
      <c r="N4" s="139">
        <f t="shared" ref="N4:N11" si="2">(M4-(M4*O4))-L4</f>
        <v>-11001.093535589112</v>
      </c>
      <c r="O4" s="134">
        <v>6.5183649460298712E-2</v>
      </c>
    </row>
    <row r="5" spans="2:15" ht="15.75" x14ac:dyDescent="0.25">
      <c r="B5" s="210" t="s">
        <v>198</v>
      </c>
      <c r="C5" s="210"/>
      <c r="D5" s="81">
        <f>SUM(D2:D4)</f>
        <v>136778.742</v>
      </c>
      <c r="G5" s="115" t="s">
        <v>77</v>
      </c>
      <c r="H5" s="85">
        <v>22912.669533333334</v>
      </c>
      <c r="I5" s="92">
        <v>3436.4227999999998</v>
      </c>
      <c r="J5" s="130">
        <v>43</v>
      </c>
      <c r="K5" s="92">
        <f t="shared" si="0"/>
        <v>9818.8412454090158</v>
      </c>
      <c r="L5" s="94">
        <f t="shared" si="1"/>
        <v>36167.933578742348</v>
      </c>
      <c r="M5" s="138">
        <v>28017.020000000004</v>
      </c>
      <c r="N5" s="139">
        <f t="shared" si="2"/>
        <v>-12614.915245409011</v>
      </c>
      <c r="O5" s="134">
        <v>0.15933177999182874</v>
      </c>
    </row>
    <row r="6" spans="2:15" ht="15.75" x14ac:dyDescent="0.25">
      <c r="B6" s="5" t="s">
        <v>204</v>
      </c>
      <c r="C6" s="110" t="s">
        <v>279</v>
      </c>
      <c r="D6" s="111">
        <f>D5/C6</f>
        <v>228.34514524207012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8905.460664440734</v>
      </c>
      <c r="L6" s="94">
        <f t="shared" si="1"/>
        <v>42731.440074435639</v>
      </c>
      <c r="M6" s="138">
        <v>17372.7</v>
      </c>
      <c r="N6" s="139">
        <f t="shared" si="2"/>
        <v>-28207.848407768972</v>
      </c>
      <c r="O6" s="134">
        <v>0.16399916727586</v>
      </c>
    </row>
    <row r="7" spans="2:15" ht="15.75" x14ac:dyDescent="0.25">
      <c r="G7" s="115" t="s">
        <v>94</v>
      </c>
      <c r="H7" s="85">
        <v>47869.319882429336</v>
      </c>
      <c r="I7" s="92">
        <v>1718.2113999999999</v>
      </c>
      <c r="J7" s="130">
        <v>135</v>
      </c>
      <c r="K7" s="92">
        <f t="shared" si="0"/>
        <v>30826.594607679464</v>
      </c>
      <c r="L7" s="94">
        <f t="shared" si="1"/>
        <v>80414.1258901088</v>
      </c>
      <c r="M7" s="138">
        <v>57359.55999999999</v>
      </c>
      <c r="N7" s="139">
        <f t="shared" si="2"/>
        <v>-33661.6258901088</v>
      </c>
      <c r="O7" s="134">
        <v>0.18492226927821614</v>
      </c>
    </row>
    <row r="8" spans="2:15" ht="15.75" x14ac:dyDescent="0.25">
      <c r="B8" s="106" t="s">
        <v>270</v>
      </c>
      <c r="C8" s="107"/>
      <c r="D8" s="107">
        <f>Planilha3!F81+Planilha3!F82</f>
        <v>26245.7258</v>
      </c>
      <c r="G8" s="115" t="s">
        <v>95</v>
      </c>
      <c r="H8" s="85">
        <v>35000.290214117646</v>
      </c>
      <c r="I8" s="92">
        <v>1718.2113999999999</v>
      </c>
      <c r="J8" s="130">
        <v>122</v>
      </c>
      <c r="K8" s="92">
        <f t="shared" si="0"/>
        <v>27858.107719532556</v>
      </c>
      <c r="L8" s="94">
        <f t="shared" si="1"/>
        <v>64576.609333650202</v>
      </c>
      <c r="M8" s="138">
        <v>67611.089999999982</v>
      </c>
      <c r="N8" s="139">
        <f t="shared" si="2"/>
        <v>-5614.5926669835535</v>
      </c>
      <c r="O8" s="134">
        <v>0.12792388546514094</v>
      </c>
    </row>
    <row r="9" spans="2:15" ht="15.75" x14ac:dyDescent="0.25">
      <c r="B9" s="42" t="s">
        <v>271</v>
      </c>
      <c r="C9" s="109"/>
      <c r="D9" s="109">
        <f>Planilha3!D81+Planilha3!D82</f>
        <v>243980.68740000005</v>
      </c>
      <c r="G9" s="115" t="s">
        <v>82</v>
      </c>
      <c r="H9" s="85">
        <f>47187.1892553535</f>
        <v>47187.1892553535</v>
      </c>
      <c r="I9" s="92">
        <v>3436.4227999999998</v>
      </c>
      <c r="J9" s="130">
        <v>97</v>
      </c>
      <c r="K9" s="92">
        <f t="shared" si="0"/>
        <v>22149.479088480803</v>
      </c>
      <c r="L9" s="94">
        <f t="shared" si="1"/>
        <v>72773.091143834303</v>
      </c>
      <c r="M9" s="138">
        <v>56968.500000000007</v>
      </c>
      <c r="N9" s="139">
        <f t="shared" si="2"/>
        <v>-24557.921143834297</v>
      </c>
      <c r="O9" s="134">
        <v>0.15365210598839707</v>
      </c>
    </row>
    <row r="10" spans="2:15" ht="15.75" x14ac:dyDescent="0.25">
      <c r="D10" s="81">
        <f>SUM(D8:D9)</f>
        <v>270226.41320000007</v>
      </c>
      <c r="G10" s="115" t="s">
        <v>96</v>
      </c>
      <c r="H10" s="85">
        <v>7695.8359111111113</v>
      </c>
      <c r="I10" s="92">
        <v>3436.4227999999998</v>
      </c>
      <c r="J10" s="130">
        <v>4</v>
      </c>
      <c r="K10" s="92">
        <f t="shared" si="0"/>
        <v>913.38058096828047</v>
      </c>
      <c r="L10" s="94">
        <f t="shared" si="1"/>
        <v>12045.639292079391</v>
      </c>
      <c r="M10" s="138">
        <v>841.51</v>
      </c>
      <c r="N10" s="139">
        <f t="shared" si="2"/>
        <v>-11486.029292079391</v>
      </c>
      <c r="O10" s="134">
        <v>0.33499304821095416</v>
      </c>
    </row>
    <row r="11" spans="2:15" ht="15.75" x14ac:dyDescent="0.25">
      <c r="G11" s="115" t="s">
        <v>97</v>
      </c>
      <c r="H11" s="85">
        <v>7992.7633357142849</v>
      </c>
      <c r="I11" s="92">
        <v>3436.4227999999998</v>
      </c>
      <c r="J11" s="130">
        <v>7</v>
      </c>
      <c r="K11" s="92">
        <f t="shared" si="0"/>
        <v>1598.4160166944907</v>
      </c>
      <c r="L11" s="94">
        <f t="shared" si="1"/>
        <v>13027.602152408776</v>
      </c>
      <c r="M11" s="138">
        <v>2284.8900000000003</v>
      </c>
      <c r="N11" s="139">
        <f t="shared" si="2"/>
        <v>-11650.588819075441</v>
      </c>
      <c r="O11" s="134">
        <v>0.39733933216332801</v>
      </c>
    </row>
    <row r="12" spans="2:15" ht="15.75" x14ac:dyDescent="0.25">
      <c r="B12" s="211" t="s">
        <v>272</v>
      </c>
      <c r="C12" s="211"/>
      <c r="D12" s="112">
        <f>D10+D5</f>
        <v>407005.15520000004</v>
      </c>
      <c r="G12" s="115" t="s">
        <v>98</v>
      </c>
      <c r="H12" s="85">
        <v>2399.1003714285716</v>
      </c>
      <c r="I12" s="92">
        <v>2971.6760000000004</v>
      </c>
      <c r="J12" s="130">
        <v>6</v>
      </c>
      <c r="K12" s="92">
        <f t="shared" si="0"/>
        <v>1370.0708714524208</v>
      </c>
      <c r="L12" s="94">
        <f t="shared" si="1"/>
        <v>6740.8472428809928</v>
      </c>
      <c r="M12" s="138">
        <f>6*238</f>
        <v>1428</v>
      </c>
      <c r="N12" s="139">
        <f t="shared" ref="N12" si="3">M12-L12</f>
        <v>-5312.8472428809928</v>
      </c>
    </row>
    <row r="13" spans="2:15" x14ac:dyDescent="0.25">
      <c r="H13" s="81">
        <f t="shared" ref="H13:N13" si="4">SUM(H3:H12)</f>
        <v>243980.68739999997</v>
      </c>
      <c r="I13" s="81">
        <f t="shared" si="4"/>
        <v>26245.7258</v>
      </c>
      <c r="J13" s="131">
        <f t="shared" si="4"/>
        <v>599</v>
      </c>
      <c r="K13" s="81">
        <f t="shared" si="4"/>
        <v>136778.74199999997</v>
      </c>
      <c r="L13" s="81">
        <f t="shared" si="4"/>
        <v>407005.15519999998</v>
      </c>
      <c r="M13" s="81">
        <f t="shared" si="4"/>
        <v>296322.23</v>
      </c>
      <c r="N13" s="140">
        <f t="shared" si="4"/>
        <v>-150837.56019999998</v>
      </c>
    </row>
    <row r="14" spans="2:15" s="116" customFormat="1" x14ac:dyDescent="0.25">
      <c r="B14" s="208" t="s">
        <v>283</v>
      </c>
      <c r="C14" s="208"/>
      <c r="D14" s="208"/>
      <c r="E14" s="208"/>
      <c r="F14" s="208"/>
      <c r="G14" s="208"/>
      <c r="H14" s="117"/>
    </row>
    <row r="15" spans="2:15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22"/>
      <c r="J15" s="124"/>
      <c r="K15" s="123"/>
      <c r="L15" s="118"/>
    </row>
    <row r="16" spans="2:15" s="116" customFormat="1" ht="15.75" x14ac:dyDescent="0.25">
      <c r="B16" s="115" t="s">
        <v>92</v>
      </c>
      <c r="C16" s="85">
        <v>10802.81</v>
      </c>
      <c r="D16" s="125">
        <f t="shared" ref="D16:D25" si="5">((C16+(C16*-15%))/J3)</f>
        <v>296.20608064516125</v>
      </c>
      <c r="E16" s="128">
        <f>L3/D16</f>
        <v>58.698399838384404</v>
      </c>
      <c r="F16" s="128">
        <f>E16/1</f>
        <v>58.698399838384404</v>
      </c>
      <c r="G16" s="94">
        <f>E16*D16</f>
        <v>17386.822956270411</v>
      </c>
      <c r="H16" s="132"/>
      <c r="I16" s="117"/>
      <c r="J16" s="119"/>
      <c r="K16" s="119"/>
      <c r="L16" s="121"/>
    </row>
    <row r="17" spans="2:12" s="116" customFormat="1" ht="15.75" x14ac:dyDescent="0.25">
      <c r="B17" s="115" t="s">
        <v>93</v>
      </c>
      <c r="C17" s="85">
        <v>53636.149999999994</v>
      </c>
      <c r="D17" s="125">
        <f t="shared" si="5"/>
        <v>396.44110869565213</v>
      </c>
      <c r="E17" s="128">
        <f t="shared" ref="E17:E25" si="6">L4/D17</f>
        <v>154.22478192726248</v>
      </c>
      <c r="F17" s="128">
        <f>E17/4</f>
        <v>38.556195481815621</v>
      </c>
      <c r="G17" s="94">
        <f t="shared" ref="G17:G25" si="7">E17*D17</f>
        <v>61141.04353558911</v>
      </c>
      <c r="H17" s="132"/>
      <c r="I17" s="117"/>
      <c r="J17" s="119"/>
      <c r="K17" s="119"/>
      <c r="L17" s="121"/>
    </row>
    <row r="18" spans="2:12" s="116" customFormat="1" ht="15.75" x14ac:dyDescent="0.25">
      <c r="B18" s="115" t="s">
        <v>77</v>
      </c>
      <c r="C18" s="85">
        <v>28017.020000000004</v>
      </c>
      <c r="D18" s="125">
        <f t="shared" si="5"/>
        <v>553.8248139534885</v>
      </c>
      <c r="E18" s="128">
        <f t="shared" si="6"/>
        <v>65.305729659451146</v>
      </c>
      <c r="F18" s="128">
        <f>E18/5</f>
        <v>13.061145931890229</v>
      </c>
      <c r="G18" s="94">
        <f t="shared" si="7"/>
        <v>36167.933578742348</v>
      </c>
      <c r="H18" s="132"/>
      <c r="I18" s="117"/>
      <c r="J18" s="137"/>
      <c r="K18" s="119"/>
      <c r="L18" s="121"/>
    </row>
    <row r="19" spans="2:12" s="116" customFormat="1" ht="15.75" x14ac:dyDescent="0.25">
      <c r="B19" s="115" t="s">
        <v>78</v>
      </c>
      <c r="C19" s="85">
        <v>17372.7</v>
      </c>
      <c r="D19" s="125">
        <f t="shared" si="5"/>
        <v>378.63576923076926</v>
      </c>
      <c r="E19" s="128">
        <f t="shared" si="6"/>
        <v>112.85632142269124</v>
      </c>
      <c r="F19" s="128">
        <f>E19/4</f>
        <v>28.214080355672809</v>
      </c>
      <c r="G19" s="94">
        <f t="shared" si="7"/>
        <v>42731.440074435639</v>
      </c>
      <c r="H19" s="132"/>
      <c r="I19" s="117"/>
      <c r="J19" s="136"/>
      <c r="K19" s="119"/>
      <c r="L19" s="121"/>
    </row>
    <row r="20" spans="2:12" s="116" customFormat="1" ht="15.75" x14ac:dyDescent="0.25">
      <c r="B20" s="115" t="s">
        <v>94</v>
      </c>
      <c r="C20" s="85">
        <v>57359.55999999999</v>
      </c>
      <c r="D20" s="125">
        <f t="shared" si="5"/>
        <v>361.15278518518511</v>
      </c>
      <c r="E20" s="128">
        <f t="shared" si="6"/>
        <v>222.65957563881327</v>
      </c>
      <c r="F20" s="128">
        <f>E20/5</f>
        <v>44.531915127762652</v>
      </c>
      <c r="G20" s="94">
        <f t="shared" si="7"/>
        <v>80414.1258901088</v>
      </c>
      <c r="H20" s="132"/>
      <c r="I20" s="117"/>
      <c r="J20" s="119"/>
      <c r="K20" s="119"/>
      <c r="L20" s="121"/>
    </row>
    <row r="21" spans="2:12" s="116" customFormat="1" ht="15.75" x14ac:dyDescent="0.25">
      <c r="B21" s="115" t="s">
        <v>95</v>
      </c>
      <c r="C21" s="85">
        <v>67611.089999999982</v>
      </c>
      <c r="D21" s="125">
        <f t="shared" si="5"/>
        <v>471.06087295081954</v>
      </c>
      <c r="E21" s="128">
        <f t="shared" si="6"/>
        <v>137.08761020445064</v>
      </c>
      <c r="F21" s="128">
        <f>E21/5</f>
        <v>27.417522040890127</v>
      </c>
      <c r="G21" s="94">
        <f t="shared" si="7"/>
        <v>64576.609333650194</v>
      </c>
      <c r="H21" s="132"/>
      <c r="I21" s="117"/>
      <c r="J21" s="119"/>
      <c r="K21" s="119"/>
      <c r="L21" s="121"/>
    </row>
    <row r="22" spans="2:12" s="116" customFormat="1" ht="15.75" x14ac:dyDescent="0.25">
      <c r="B22" s="115" t="s">
        <v>82</v>
      </c>
      <c r="C22" s="85">
        <v>56968.500000000007</v>
      </c>
      <c r="D22" s="125">
        <f t="shared" si="5"/>
        <v>499.20850515463923</v>
      </c>
      <c r="E22" s="128">
        <f t="shared" si="6"/>
        <v>145.77694568984049</v>
      </c>
      <c r="F22" s="128">
        <f>E22/5</f>
        <v>29.155389137968097</v>
      </c>
      <c r="G22" s="94">
        <f t="shared" si="7"/>
        <v>72773.091143834303</v>
      </c>
      <c r="H22" s="132"/>
      <c r="I22" s="117"/>
      <c r="J22" s="119"/>
      <c r="K22" s="119"/>
      <c r="L22" s="121"/>
    </row>
    <row r="23" spans="2:12" s="116" customFormat="1" ht="15.75" x14ac:dyDescent="0.25">
      <c r="B23" s="115" t="s">
        <v>96</v>
      </c>
      <c r="C23" s="85">
        <v>841.51</v>
      </c>
      <c r="D23" s="125">
        <f t="shared" si="5"/>
        <v>178.820875</v>
      </c>
      <c r="E23" s="128">
        <f t="shared" si="6"/>
        <v>67.361482780348723</v>
      </c>
      <c r="F23" s="128">
        <f>E23/4</f>
        <v>16.840370695087181</v>
      </c>
      <c r="G23" s="94">
        <f t="shared" si="7"/>
        <v>12045.639292079391</v>
      </c>
      <c r="H23" s="132"/>
      <c r="I23" s="117"/>
      <c r="J23" s="119"/>
      <c r="K23" s="119"/>
      <c r="L23" s="121"/>
    </row>
    <row r="24" spans="2:12" s="116" customFormat="1" ht="15.75" x14ac:dyDescent="0.25">
      <c r="B24" s="115" t="s">
        <v>97</v>
      </c>
      <c r="C24" s="85">
        <v>2284.8900000000003</v>
      </c>
      <c r="D24" s="125">
        <f t="shared" si="5"/>
        <v>277.45092857142862</v>
      </c>
      <c r="E24" s="128">
        <f t="shared" si="6"/>
        <v>46.9546172344306</v>
      </c>
      <c r="F24" s="128">
        <f>E24/4</f>
        <v>11.73865430860765</v>
      </c>
      <c r="G24" s="94">
        <f t="shared" si="7"/>
        <v>13027.602152408776</v>
      </c>
      <c r="H24" s="132"/>
      <c r="I24" s="117"/>
      <c r="J24" s="119"/>
      <c r="K24" s="119"/>
      <c r="L24" s="121"/>
    </row>
    <row r="25" spans="2:12" s="116" customFormat="1" ht="15.75" x14ac:dyDescent="0.25">
      <c r="B25" s="115" t="s">
        <v>98</v>
      </c>
      <c r="C25" s="85">
        <f>6*238</f>
        <v>1428</v>
      </c>
      <c r="D25" s="125">
        <f t="shared" si="5"/>
        <v>202.29999999999998</v>
      </c>
      <c r="E25" s="128">
        <f t="shared" si="6"/>
        <v>33.321044206035559</v>
      </c>
      <c r="F25" s="128">
        <f>E25/2</f>
        <v>16.660522103017779</v>
      </c>
      <c r="G25" s="94">
        <f t="shared" si="7"/>
        <v>6740.8472428809928</v>
      </c>
      <c r="H25" s="132"/>
      <c r="I25" s="117"/>
      <c r="J25" s="119"/>
      <c r="K25" s="119"/>
      <c r="L25" s="121"/>
    </row>
    <row r="26" spans="2:12" s="116" customFormat="1" x14ac:dyDescent="0.25">
      <c r="B26"/>
      <c r="C26" s="81">
        <f>SUM(C16:C25)</f>
        <v>296322.23</v>
      </c>
      <c r="D26" s="117"/>
      <c r="E26" s="129">
        <f>SUM(E16:E25)</f>
        <v>1044.2465086017085</v>
      </c>
      <c r="F26" s="129">
        <f>SUM(F16:F25)</f>
        <v>284.87419502109657</v>
      </c>
      <c r="G26" s="101">
        <f>SUM(G16:G25)</f>
        <v>407005.15519999998</v>
      </c>
      <c r="H26" s="122"/>
      <c r="I26" s="122"/>
      <c r="J26" s="119"/>
      <c r="K26" s="122"/>
      <c r="L26" s="122"/>
    </row>
    <row r="27" spans="2:12" s="116" customFormat="1" x14ac:dyDescent="0.25">
      <c r="B27"/>
      <c r="C27" s="81"/>
      <c r="D27" s="117"/>
      <c r="E27" s="117"/>
      <c r="F27" s="117"/>
      <c r="G27" s="101"/>
      <c r="H27" s="122"/>
      <c r="I27" s="122"/>
      <c r="J27" s="119"/>
      <c r="K27" s="122"/>
      <c r="L27" s="122"/>
    </row>
    <row r="28" spans="2:12" s="116" customFormat="1" x14ac:dyDescent="0.25">
      <c r="B28" s="208" t="s">
        <v>284</v>
      </c>
      <c r="C28" s="208"/>
      <c r="D28" s="208"/>
      <c r="E28" s="208"/>
      <c r="F28" s="208"/>
      <c r="G28" s="208"/>
      <c r="H28" s="117"/>
    </row>
    <row r="29" spans="2:12" x14ac:dyDescent="0.25">
      <c r="B29" s="114" t="s">
        <v>275</v>
      </c>
      <c r="C29" s="114" t="s">
        <v>280</v>
      </c>
      <c r="D29" s="126" t="s">
        <v>277</v>
      </c>
      <c r="E29" s="114" t="s">
        <v>281</v>
      </c>
      <c r="F29" s="127" t="s">
        <v>278</v>
      </c>
      <c r="G29" s="114" t="s">
        <v>198</v>
      </c>
    </row>
    <row r="30" spans="2:12" ht="15.75" x14ac:dyDescent="0.25">
      <c r="B30" s="115" t="s">
        <v>92</v>
      </c>
      <c r="C30" s="133">
        <v>2</v>
      </c>
      <c r="D30" s="125">
        <f>((C16+(C16*-2.4%)))/J3</f>
        <v>340.11427612903225</v>
      </c>
      <c r="E30" s="141">
        <v>1.3522870438339654E-2</v>
      </c>
      <c r="F30" s="128">
        <f>L3/D30</f>
        <v>51.120532646133952</v>
      </c>
      <c r="G30" s="94">
        <f>F30*D30</f>
        <v>17386.822956270411</v>
      </c>
    </row>
    <row r="31" spans="2:12" ht="15.75" x14ac:dyDescent="0.25">
      <c r="B31" s="115" t="s">
        <v>93</v>
      </c>
      <c r="C31" s="133">
        <v>10</v>
      </c>
      <c r="D31" s="125">
        <f>((C17+(C17*-7.5%))/J4)</f>
        <v>431.42120652173907</v>
      </c>
      <c r="E31" s="141">
        <v>6.5183649460298712E-2</v>
      </c>
      <c r="F31" s="128">
        <f>(L4/D31)/4</f>
        <v>35.430017469776516</v>
      </c>
      <c r="G31" s="94">
        <f>(F31*D31)*4</f>
        <v>61141.04353558911</v>
      </c>
    </row>
    <row r="32" spans="2:12" ht="15.75" x14ac:dyDescent="0.25">
      <c r="B32" s="115" t="s">
        <v>77</v>
      </c>
      <c r="C32" s="133">
        <v>12</v>
      </c>
      <c r="D32" s="125">
        <f>((C18+(C18*-16.9%))/J5)</f>
        <v>541.44520046511639</v>
      </c>
      <c r="E32" s="141">
        <v>0.15933177999182874</v>
      </c>
      <c r="F32" s="128">
        <f>(L5/D32)/5</f>
        <v>13.359776223955109</v>
      </c>
      <c r="G32" s="94">
        <f>(F32*D32)*5</f>
        <v>36167.933578742348</v>
      </c>
    </row>
    <row r="33" spans="2:11" ht="15.75" x14ac:dyDescent="0.25">
      <c r="B33" s="115" t="s">
        <v>78</v>
      </c>
      <c r="C33" s="133">
        <v>7</v>
      </c>
      <c r="D33" s="125">
        <f>((C19+(C19*-17.4%))/J6)</f>
        <v>367.94487692307695</v>
      </c>
      <c r="E33" s="141">
        <v>0.16399916727586</v>
      </c>
      <c r="F33" s="128">
        <f>(L6/D33)/4</f>
        <v>29.033859930171776</v>
      </c>
      <c r="G33" s="94">
        <f t="shared" ref="G33:G38" si="8">(F33*D33)*4</f>
        <v>42731.440074435639</v>
      </c>
    </row>
    <row r="34" spans="2:11" ht="15.75" x14ac:dyDescent="0.25">
      <c r="B34" s="115" t="s">
        <v>94</v>
      </c>
      <c r="C34" s="133">
        <v>38</v>
      </c>
      <c r="D34" s="125">
        <f>((C20+(C20*-19.5%))/J7)</f>
        <v>342.0329318518518</v>
      </c>
      <c r="E34" s="141">
        <v>0.18492226927821614</v>
      </c>
      <c r="F34" s="128">
        <f>(L7/D34)/5</f>
        <v>47.021276842979191</v>
      </c>
      <c r="G34" s="94">
        <f>(F34*D34)*5</f>
        <v>80414.125890108786</v>
      </c>
    </row>
    <row r="35" spans="2:11" ht="15.75" x14ac:dyDescent="0.25">
      <c r="B35" s="115" t="s">
        <v>95</v>
      </c>
      <c r="C35" s="133">
        <v>17</v>
      </c>
      <c r="D35" s="125">
        <f>((C21+(C21*-13.8%))/J8)</f>
        <v>477.71114409836053</v>
      </c>
      <c r="E35" s="141">
        <v>0.12792388546514094</v>
      </c>
      <c r="F35" s="128">
        <f>(L8/D35)/5</f>
        <v>27.035839599485627</v>
      </c>
      <c r="G35" s="94">
        <f>(F35*D35)*5</f>
        <v>64576.609333650202</v>
      </c>
    </row>
    <row r="36" spans="2:11" ht="15.75" x14ac:dyDescent="0.25">
      <c r="B36" s="115" t="s">
        <v>82</v>
      </c>
      <c r="C36" s="133">
        <v>17</v>
      </c>
      <c r="D36" s="125">
        <f>((C22+(C22*-16.4%))/J9)</f>
        <v>490.98624742268044</v>
      </c>
      <c r="E36" s="141">
        <v>0.15365210598839707</v>
      </c>
      <c r="F36" s="128">
        <f>(L9/D36)/5</f>
        <v>29.643637281426898</v>
      </c>
      <c r="G36" s="94">
        <f>(F36*D36)*5</f>
        <v>72773.091143834303</v>
      </c>
    </row>
    <row r="37" spans="2:11" ht="15.75" x14ac:dyDescent="0.25">
      <c r="B37" s="115" t="s">
        <v>96</v>
      </c>
      <c r="C37" s="133">
        <v>2</v>
      </c>
      <c r="D37" s="125">
        <f>((C23+(C23*-34.5%))/J10)</f>
        <v>137.79726249999999</v>
      </c>
      <c r="E37" s="141">
        <v>0.33499304821095416</v>
      </c>
      <c r="F37" s="128">
        <f>(L10/D37)/4</f>
        <v>21.853916169197106</v>
      </c>
      <c r="G37" s="94">
        <f t="shared" si="8"/>
        <v>12045.639292079391</v>
      </c>
    </row>
    <row r="38" spans="2:11" ht="15.75" x14ac:dyDescent="0.25">
      <c r="B38" s="115" t="s">
        <v>97</v>
      </c>
      <c r="C38" s="133">
        <v>3</v>
      </c>
      <c r="D38" s="125">
        <f>((C24+(C24*-40.7%))/J11)</f>
        <v>193.5628242857143</v>
      </c>
      <c r="E38" s="141">
        <v>0.39733933216332801</v>
      </c>
      <c r="F38" s="128">
        <f>(L11/D38)/4</f>
        <v>16.826064354665267</v>
      </c>
      <c r="G38" s="94">
        <f t="shared" si="8"/>
        <v>13027.602152408776</v>
      </c>
    </row>
    <row r="39" spans="2:11" x14ac:dyDescent="0.25">
      <c r="F39" s="129">
        <f>SUM(F29:F38)</f>
        <v>271.32492051779144</v>
      </c>
      <c r="G39" s="101">
        <f>SUM(G30:G38)</f>
        <v>400264.30795711896</v>
      </c>
    </row>
    <row r="40" spans="2:11" x14ac:dyDescent="0.25">
      <c r="G40" s="101"/>
    </row>
    <row r="41" spans="2:11" x14ac:dyDescent="0.25">
      <c r="B41" s="208" t="s">
        <v>285</v>
      </c>
      <c r="C41" s="208"/>
      <c r="D41" s="208"/>
      <c r="E41" s="208"/>
      <c r="F41" s="208"/>
      <c r="G41" s="208"/>
    </row>
    <row r="42" spans="2:11" x14ac:dyDescent="0.25">
      <c r="B42" s="114" t="s">
        <v>275</v>
      </c>
      <c r="C42" s="114" t="s">
        <v>282</v>
      </c>
      <c r="D42" s="126" t="s">
        <v>277</v>
      </c>
      <c r="E42" s="127" t="s">
        <v>278</v>
      </c>
      <c r="F42" s="127" t="s">
        <v>278</v>
      </c>
      <c r="G42" s="114" t="s">
        <v>198</v>
      </c>
      <c r="H42"/>
    </row>
    <row r="43" spans="2:11" ht="15.75" x14ac:dyDescent="0.25">
      <c r="B43" s="150" t="s">
        <v>92</v>
      </c>
      <c r="C43" s="144">
        <v>0.17</v>
      </c>
      <c r="D43" s="148">
        <f>((C16+(C16*-18%))/J3)</f>
        <v>285.75174838709671</v>
      </c>
      <c r="E43" s="149">
        <f t="shared" ref="E43:E51" si="9">L3/D43</f>
        <v>60.845902271496037</v>
      </c>
      <c r="F43" s="149">
        <f>E43/1</f>
        <v>60.845902271496037</v>
      </c>
      <c r="G43" s="94">
        <f>E43*D43</f>
        <v>17386.822956270411</v>
      </c>
      <c r="H43" s="145"/>
      <c r="I43" s="146"/>
      <c r="J43" s="146"/>
      <c r="K43" s="146"/>
    </row>
    <row r="44" spans="2:11" ht="15.75" x14ac:dyDescent="0.25">
      <c r="B44" s="150" t="s">
        <v>93</v>
      </c>
      <c r="C44" s="144">
        <v>0.15</v>
      </c>
      <c r="D44" s="148">
        <f>((C17+(C17*-16%))/J4)</f>
        <v>391.77709565217384</v>
      </c>
      <c r="E44" s="149">
        <f t="shared" si="9"/>
        <v>156.06079123592036</v>
      </c>
      <c r="F44" s="149">
        <f>E44/4</f>
        <v>39.015197808980091</v>
      </c>
      <c r="G44" s="94">
        <f>(F44*D44)*4</f>
        <v>61141.043535589102</v>
      </c>
      <c r="H44" s="145"/>
      <c r="I44" s="146"/>
      <c r="J44" s="146"/>
      <c r="K44" s="146"/>
    </row>
    <row r="45" spans="2:11" ht="15.75" x14ac:dyDescent="0.25">
      <c r="B45" s="150" t="s">
        <v>77</v>
      </c>
      <c r="C45" s="144">
        <v>0.46</v>
      </c>
      <c r="D45" s="148">
        <f>((C18+(C18*-47%))/J5)</f>
        <v>345.32606046511637</v>
      </c>
      <c r="E45" s="149">
        <f t="shared" si="9"/>
        <v>104.73560417081788</v>
      </c>
      <c r="F45" s="149">
        <f>E45/5</f>
        <v>20.947120834163577</v>
      </c>
      <c r="G45" s="94">
        <f>(F45*D45)*5</f>
        <v>36167.933578742348</v>
      </c>
      <c r="H45" s="145"/>
      <c r="I45" s="146"/>
      <c r="J45" s="146"/>
      <c r="K45" s="146"/>
    </row>
    <row r="46" spans="2:11" ht="15.75" x14ac:dyDescent="0.25">
      <c r="B46" s="150" t="s">
        <v>78</v>
      </c>
      <c r="C46" s="144">
        <v>0.19</v>
      </c>
      <c r="D46" s="148">
        <f>((C19+(C19*-20%))/J6)</f>
        <v>356.3630769230769</v>
      </c>
      <c r="E46" s="149">
        <f t="shared" si="9"/>
        <v>119.90984151160946</v>
      </c>
      <c r="F46" s="149">
        <f>E46/4</f>
        <v>29.977460377902364</v>
      </c>
      <c r="G46" s="94">
        <f t="shared" ref="G46:G51" si="10">(F46*D46)*4</f>
        <v>42731.440074435639</v>
      </c>
      <c r="H46"/>
    </row>
    <row r="47" spans="2:11" ht="15.75" x14ac:dyDescent="0.25">
      <c r="B47" s="150" t="s">
        <v>94</v>
      </c>
      <c r="C47" s="144">
        <v>0.23</v>
      </c>
      <c r="D47" s="148">
        <f>((C20+(C20*-24%))/J7)</f>
        <v>322.91307851851843</v>
      </c>
      <c r="E47" s="149">
        <f t="shared" si="9"/>
        <v>249.02715696446222</v>
      </c>
      <c r="F47" s="149">
        <f>E47/5</f>
        <v>49.805431392892444</v>
      </c>
      <c r="G47" s="94">
        <f>(F47*D47)*5</f>
        <v>80414.125890108815</v>
      </c>
      <c r="H47" s="145"/>
      <c r="I47" s="146"/>
      <c r="J47" s="146"/>
      <c r="K47" s="146"/>
    </row>
    <row r="48" spans="2:11" ht="15.75" x14ac:dyDescent="0.25">
      <c r="B48" s="150" t="s">
        <v>95</v>
      </c>
      <c r="C48" s="144">
        <v>0.19</v>
      </c>
      <c r="D48" s="148">
        <f>((C21+(C21*-20%))/J8)</f>
        <v>443.3514098360655</v>
      </c>
      <c r="E48" s="149">
        <f t="shared" si="9"/>
        <v>145.65558584222882</v>
      </c>
      <c r="F48" s="149">
        <f>E48/5</f>
        <v>29.131117168445762</v>
      </c>
      <c r="G48" s="94">
        <f>(F48*D48)*5</f>
        <v>64576.609333650202</v>
      </c>
      <c r="H48" s="145"/>
      <c r="I48" s="146"/>
      <c r="J48" s="146"/>
      <c r="K48" s="146"/>
    </row>
    <row r="49" spans="2:11" ht="15.75" x14ac:dyDescent="0.25">
      <c r="B49" s="150" t="s">
        <v>82</v>
      </c>
      <c r="C49" s="135">
        <v>0.36</v>
      </c>
      <c r="D49" s="85">
        <f>((C22+(C22*-37%))/J9)</f>
        <v>370.00159793814441</v>
      </c>
      <c r="E49" s="151">
        <f t="shared" si="9"/>
        <v>196.68318069264191</v>
      </c>
      <c r="F49" s="151">
        <f>E49/5</f>
        <v>39.336636138528384</v>
      </c>
      <c r="G49" s="94">
        <f>(F49*D49)*5</f>
        <v>72773.091143834303</v>
      </c>
      <c r="H49" s="145"/>
      <c r="I49" s="146"/>
      <c r="J49" s="146"/>
      <c r="K49" s="146"/>
    </row>
    <row r="50" spans="2:11" ht="15.75" x14ac:dyDescent="0.25">
      <c r="B50" s="150" t="s">
        <v>96</v>
      </c>
      <c r="C50" s="144">
        <v>0.28999999999999998</v>
      </c>
      <c r="D50" s="148">
        <f>((C23+(C23*-30%))/J10)</f>
        <v>147.26425</v>
      </c>
      <c r="E50" s="149">
        <f t="shared" si="9"/>
        <v>81.79608623328059</v>
      </c>
      <c r="F50" s="149">
        <f>E50/4</f>
        <v>20.449021558320148</v>
      </c>
      <c r="G50" s="94">
        <f t="shared" si="10"/>
        <v>12045.639292079391</v>
      </c>
      <c r="H50"/>
    </row>
    <row r="51" spans="2:11" ht="15.75" x14ac:dyDescent="0.25">
      <c r="B51" s="150" t="s">
        <v>97</v>
      </c>
      <c r="C51" s="144">
        <v>0.6</v>
      </c>
      <c r="D51" s="148">
        <f>((C24+(C24*-61%))/J11)</f>
        <v>127.30101428571432</v>
      </c>
      <c r="E51" s="149">
        <f t="shared" si="9"/>
        <v>102.33698628016924</v>
      </c>
      <c r="F51" s="149">
        <f>E51/4</f>
        <v>25.584246570042311</v>
      </c>
      <c r="G51" s="94">
        <f t="shared" si="10"/>
        <v>13027.602152408776</v>
      </c>
      <c r="H51"/>
    </row>
    <row r="52" spans="2:11" x14ac:dyDescent="0.25">
      <c r="E52" s="129">
        <f>SUM(E43:E51)</f>
        <v>1217.0511352026265</v>
      </c>
      <c r="F52" s="129">
        <f>SUM(F43:F51)</f>
        <v>315.09213412077111</v>
      </c>
      <c r="G52" s="101">
        <f>SUM(G43:G51)</f>
        <v>400264.30795711896</v>
      </c>
      <c r="H52"/>
    </row>
    <row r="55" spans="2:11" x14ac:dyDescent="0.25">
      <c r="B55" s="208" t="s">
        <v>286</v>
      </c>
      <c r="C55" s="208"/>
      <c r="D55" s="208"/>
      <c r="E55" s="208"/>
      <c r="F55" s="208"/>
      <c r="G55" s="208"/>
    </row>
    <row r="56" spans="2:11" x14ac:dyDescent="0.25">
      <c r="B56" s="114" t="s">
        <v>275</v>
      </c>
      <c r="C56" s="114" t="s">
        <v>276</v>
      </c>
      <c r="D56" s="126" t="s">
        <v>277</v>
      </c>
      <c r="E56" s="127" t="s">
        <v>278</v>
      </c>
      <c r="F56" s="127" t="s">
        <v>278</v>
      </c>
      <c r="G56" s="114" t="s">
        <v>198</v>
      </c>
    </row>
    <row r="57" spans="2:11" ht="15.75" x14ac:dyDescent="0.25">
      <c r="B57" s="115" t="s">
        <v>92</v>
      </c>
      <c r="C57" s="85">
        <v>10802.81</v>
      </c>
      <c r="D57" s="125">
        <f>((C16+(C16*-32%))/J3)</f>
        <v>236.96486451612901</v>
      </c>
      <c r="E57" s="128">
        <f>L3/D57</f>
        <v>73.372999797980498</v>
      </c>
      <c r="F57" s="128">
        <f>E57/1</f>
        <v>73.372999797980498</v>
      </c>
      <c r="G57" s="94">
        <f>E57*D57</f>
        <v>17386.822956270411</v>
      </c>
    </row>
    <row r="58" spans="2:11" ht="15.75" x14ac:dyDescent="0.25">
      <c r="B58" s="115" t="s">
        <v>93</v>
      </c>
      <c r="C58" s="85">
        <v>53636.149999999994</v>
      </c>
      <c r="D58" s="125">
        <f>((C17+(C17*-30%))/J4)</f>
        <v>326.48091304347821</v>
      </c>
      <c r="E58" s="128">
        <f t="shared" ref="E58:E65" si="11">L4/D58</f>
        <v>187.27294948310444</v>
      </c>
      <c r="F58" s="128">
        <f>E58/4</f>
        <v>46.81823737077611</v>
      </c>
      <c r="G58" s="94">
        <f>(F58*D58)*4</f>
        <v>61141.04353558911</v>
      </c>
    </row>
    <row r="59" spans="2:11" ht="15.75" x14ac:dyDescent="0.25">
      <c r="B59" s="115" t="s">
        <v>77</v>
      </c>
      <c r="C59" s="85">
        <v>28017.020000000004</v>
      </c>
      <c r="D59" s="125">
        <f>((C18+(C18*-61%))/J5)</f>
        <v>254.10785581395351</v>
      </c>
      <c r="E59" s="128">
        <f t="shared" si="11"/>
        <v>142.33300053982944</v>
      </c>
      <c r="F59" s="128">
        <f>E59/5</f>
        <v>28.466600107965888</v>
      </c>
      <c r="G59" s="94">
        <f>(F59*D59)*5</f>
        <v>36167.933578742348</v>
      </c>
    </row>
    <row r="60" spans="2:11" ht="15.75" x14ac:dyDescent="0.25">
      <c r="B60" s="115" t="s">
        <v>78</v>
      </c>
      <c r="C60" s="85">
        <v>17372.7</v>
      </c>
      <c r="D60" s="125">
        <f>((C19+(C19*-34%))/J6)</f>
        <v>293.99953846153846</v>
      </c>
      <c r="E60" s="128">
        <f t="shared" si="11"/>
        <v>145.34526243831448</v>
      </c>
      <c r="F60" s="128">
        <f>E60/4</f>
        <v>36.33631560957862</v>
      </c>
      <c r="G60" s="94">
        <f t="shared" ref="G60" si="12">(F60*D60)*4</f>
        <v>42731.440074435639</v>
      </c>
    </row>
    <row r="61" spans="2:11" ht="15.75" x14ac:dyDescent="0.25">
      <c r="B61" s="115" t="s">
        <v>94</v>
      </c>
      <c r="C61" s="85">
        <v>57359.55999999999</v>
      </c>
      <c r="D61" s="125">
        <f>((C20+(C20*-38%))/J7)</f>
        <v>263.42909037037032</v>
      </c>
      <c r="E61" s="128">
        <f t="shared" si="11"/>
        <v>305.25909563385687</v>
      </c>
      <c r="F61" s="128">
        <f>E61/5</f>
        <v>61.051819126771377</v>
      </c>
      <c r="G61" s="94">
        <f>(F61*D61)*5</f>
        <v>80414.1258901088</v>
      </c>
    </row>
    <row r="62" spans="2:11" ht="15.75" x14ac:dyDescent="0.25">
      <c r="B62" s="115" t="s">
        <v>95</v>
      </c>
      <c r="C62" s="85">
        <v>67611.089999999982</v>
      </c>
      <c r="D62" s="125">
        <f>((C21+(C21*-34%))/J8)</f>
        <v>365.76491311475399</v>
      </c>
      <c r="E62" s="128">
        <f t="shared" si="11"/>
        <v>176.55222526330766</v>
      </c>
      <c r="F62" s="128">
        <f>E62/5</f>
        <v>35.310445052661535</v>
      </c>
      <c r="G62" s="94">
        <f>(F62*D62)*5</f>
        <v>64576.609333650202</v>
      </c>
    </row>
    <row r="63" spans="2:11" ht="15.75" x14ac:dyDescent="0.25">
      <c r="B63" s="115" t="s">
        <v>82</v>
      </c>
      <c r="C63" s="85">
        <v>56968.500000000007</v>
      </c>
      <c r="D63" s="125">
        <f>((C22+(C22*-51%))/J9)</f>
        <v>287.77902061855673</v>
      </c>
      <c r="E63" s="128">
        <f t="shared" si="11"/>
        <v>252.87837517625394</v>
      </c>
      <c r="F63" s="128">
        <f>E63/5</f>
        <v>50.575675035250789</v>
      </c>
      <c r="G63" s="94">
        <f>(F63*D63)*5</f>
        <v>72773.091143834303</v>
      </c>
    </row>
    <row r="64" spans="2:11" ht="15.75" x14ac:dyDescent="0.25">
      <c r="B64" s="115" t="s">
        <v>96</v>
      </c>
      <c r="C64" s="85">
        <v>841.51</v>
      </c>
      <c r="D64" s="125">
        <f>((C23+(C23*-45%))/J10)</f>
        <v>115.70762499999999</v>
      </c>
      <c r="E64" s="128">
        <f t="shared" si="11"/>
        <v>104.10410975144804</v>
      </c>
      <c r="F64" s="128">
        <f>E64/4</f>
        <v>26.026027437862009</v>
      </c>
      <c r="G64" s="94">
        <f t="shared" ref="G64:G65" si="13">(F64*D64)*4</f>
        <v>12045.639292079391</v>
      </c>
    </row>
    <row r="65" spans="2:9" ht="15.75" x14ac:dyDescent="0.25">
      <c r="B65" s="115" t="s">
        <v>97</v>
      </c>
      <c r="C65" s="85">
        <v>2284.8900000000003</v>
      </c>
      <c r="D65" s="125">
        <f>((C24+(C24*-75%))/J11)</f>
        <v>81.603214285714301</v>
      </c>
      <c r="E65" s="128">
        <f t="shared" si="11"/>
        <v>159.64569859706404</v>
      </c>
      <c r="F65" s="128">
        <f>E65/4</f>
        <v>39.91142464926601</v>
      </c>
      <c r="G65" s="94">
        <f t="shared" si="13"/>
        <v>13027.602152408776</v>
      </c>
    </row>
    <row r="66" spans="2:9" x14ac:dyDescent="0.25">
      <c r="C66" s="81">
        <f>SUM(C57:C65)</f>
        <v>294894.23</v>
      </c>
      <c r="E66" s="129">
        <f>SUM(E57:E65)</f>
        <v>1546.7637166811594</v>
      </c>
      <c r="F66" s="129">
        <f>SUM(F57:F65)</f>
        <v>397.8695441881128</v>
      </c>
      <c r="G66" s="101">
        <f>SUM(G57:G65)</f>
        <v>400264.30795711896</v>
      </c>
    </row>
    <row r="69" spans="2:9" x14ac:dyDescent="0.25">
      <c r="B69" s="208" t="s">
        <v>287</v>
      </c>
      <c r="C69" s="208"/>
      <c r="D69" s="208"/>
      <c r="E69" s="208"/>
      <c r="F69" s="208"/>
      <c r="G69" s="208"/>
    </row>
    <row r="70" spans="2:9" x14ac:dyDescent="0.25">
      <c r="B70" s="114" t="s">
        <v>275</v>
      </c>
      <c r="C70" s="114" t="s">
        <v>276</v>
      </c>
      <c r="D70" s="126" t="s">
        <v>277</v>
      </c>
      <c r="E70" s="127" t="s">
        <v>278</v>
      </c>
      <c r="F70" s="127" t="s">
        <v>278</v>
      </c>
      <c r="G70" s="114" t="s">
        <v>198</v>
      </c>
    </row>
    <row r="71" spans="2:9" ht="15.75" x14ac:dyDescent="0.25">
      <c r="B71" s="115" t="s">
        <v>92</v>
      </c>
      <c r="C71" s="85">
        <v>10802.81</v>
      </c>
      <c r="D71" s="125">
        <f>((C16+(C16*-19.4%))/J3)</f>
        <v>280.87306000000001</v>
      </c>
      <c r="E71" s="128">
        <f>L3/D71</f>
        <v>61.902778985889249</v>
      </c>
      <c r="F71" s="128">
        <f>E71/1</f>
        <v>61.902778985889249</v>
      </c>
      <c r="G71" s="94">
        <f>E71*D71</f>
        <v>17386.822956270411</v>
      </c>
      <c r="I71" s="142"/>
    </row>
    <row r="72" spans="2:9" ht="15.75" x14ac:dyDescent="0.25">
      <c r="B72" s="115" t="s">
        <v>93</v>
      </c>
      <c r="C72" s="85">
        <v>53636.149999999994</v>
      </c>
      <c r="D72" s="125">
        <f>((C17+(C17*-21.5%))/J4)</f>
        <v>366.12502391304349</v>
      </c>
      <c r="E72" s="128">
        <f t="shared" ref="E72:E79" si="14">L4/D72</f>
        <v>166.99498680022049</v>
      </c>
      <c r="F72" s="128">
        <f>E72/4</f>
        <v>41.748746700055122</v>
      </c>
      <c r="G72" s="94">
        <f>(F72*D72)*4</f>
        <v>61141.04353558911</v>
      </c>
      <c r="I72" s="142"/>
    </row>
    <row r="73" spans="2:9" ht="15.75" x14ac:dyDescent="0.25">
      <c r="B73" s="115" t="s">
        <v>77</v>
      </c>
      <c r="C73" s="85">
        <v>28017.020000000004</v>
      </c>
      <c r="D73" s="125">
        <f>((C18+(C18*-62%))/J5)</f>
        <v>247.59226976744185</v>
      </c>
      <c r="E73" s="128">
        <f t="shared" si="14"/>
        <v>146.07860581719339</v>
      </c>
      <c r="F73" s="128">
        <f>E73/5</f>
        <v>29.21572116343868</v>
      </c>
      <c r="G73" s="94">
        <f>(F73*D73)*5</f>
        <v>36167.933578742348</v>
      </c>
      <c r="I73" s="142"/>
    </row>
    <row r="74" spans="2:9" ht="15.75" x14ac:dyDescent="0.25">
      <c r="B74" s="115" t="s">
        <v>78</v>
      </c>
      <c r="C74" s="85">
        <v>17372.7</v>
      </c>
      <c r="D74" s="125">
        <f>((C19+(C19*-35.4%))/J6)</f>
        <v>287.76318461538466</v>
      </c>
      <c r="E74" s="128">
        <f t="shared" si="14"/>
        <v>148.49515976669898</v>
      </c>
      <c r="F74" s="128">
        <f>E74/4</f>
        <v>37.123789941674744</v>
      </c>
      <c r="G74" s="94">
        <f t="shared" ref="G74" si="15">(F74*D74)*4</f>
        <v>42731.440074435639</v>
      </c>
      <c r="I74" s="142"/>
    </row>
    <row r="75" spans="2:9" ht="15.75" x14ac:dyDescent="0.25">
      <c r="B75" s="115" t="s">
        <v>94</v>
      </c>
      <c r="C75" s="85">
        <v>57359.55999999999</v>
      </c>
      <c r="D75" s="125">
        <f>((C20+(C20*-41.5%))/J7)</f>
        <v>248.55809333333332</v>
      </c>
      <c r="E75" s="128">
        <f t="shared" si="14"/>
        <v>323.52246032989956</v>
      </c>
      <c r="F75" s="128">
        <f>E75/5</f>
        <v>64.704492065979906</v>
      </c>
      <c r="G75" s="94">
        <f>(F75*D75)*5</f>
        <v>80414.125890108786</v>
      </c>
      <c r="I75" s="142"/>
    </row>
    <row r="76" spans="2:9" ht="15.75" x14ac:dyDescent="0.25">
      <c r="B76" s="115" t="s">
        <v>95</v>
      </c>
      <c r="C76" s="85">
        <v>67611.089999999982</v>
      </c>
      <c r="D76" s="125">
        <f>((C21+(C21*-31.8%))/J8)</f>
        <v>377.95707688524584</v>
      </c>
      <c r="E76" s="128">
        <f t="shared" si="14"/>
        <v>170.85699219029772</v>
      </c>
      <c r="F76" s="128">
        <f>E76/5</f>
        <v>34.171398438059541</v>
      </c>
      <c r="G76" s="94">
        <f>(F76*D76)*5</f>
        <v>64576.609333650194</v>
      </c>
      <c r="I76" s="142"/>
    </row>
    <row r="77" spans="2:9" ht="15.75" x14ac:dyDescent="0.25">
      <c r="B77" s="115" t="s">
        <v>82</v>
      </c>
      <c r="C77" s="85">
        <v>56968.500000000007</v>
      </c>
      <c r="D77" s="125">
        <f>((C22+(C22*-51.4%))/J9)</f>
        <v>285.42980412371139</v>
      </c>
      <c r="E77" s="128">
        <f t="shared" si="14"/>
        <v>254.95967867564693</v>
      </c>
      <c r="F77" s="128">
        <f>E77/5</f>
        <v>50.991935735129388</v>
      </c>
      <c r="G77" s="94">
        <f>(F77*D77)*5</f>
        <v>72773.091143834303</v>
      </c>
      <c r="I77" s="142"/>
    </row>
    <row r="78" spans="2:9" ht="15.75" x14ac:dyDescent="0.25">
      <c r="B78" s="115" t="s">
        <v>96</v>
      </c>
      <c r="C78" s="85">
        <v>841.51</v>
      </c>
      <c r="D78" s="125">
        <f>((C23+(C23*-62.5%))/J10)</f>
        <v>78.891562499999992</v>
      </c>
      <c r="E78" s="128">
        <f t="shared" si="14"/>
        <v>152.68602763545712</v>
      </c>
      <c r="F78" s="128">
        <f>E78/4</f>
        <v>38.171506908864281</v>
      </c>
      <c r="G78" s="94">
        <f t="shared" ref="G78:G79" si="16">(F78*D78)*4</f>
        <v>12045.639292079391</v>
      </c>
      <c r="I78" s="142"/>
    </row>
    <row r="79" spans="2:9" ht="15.75" x14ac:dyDescent="0.25">
      <c r="B79" s="115" t="s">
        <v>97</v>
      </c>
      <c r="C79" s="85">
        <v>2284.8900000000003</v>
      </c>
      <c r="D79" s="125">
        <f>((C24+(C24*-75%))/J11)</f>
        <v>81.603214285714301</v>
      </c>
      <c r="E79" s="128">
        <f t="shared" si="14"/>
        <v>159.64569859706404</v>
      </c>
      <c r="F79" s="128">
        <f>E79/4</f>
        <v>39.91142464926601</v>
      </c>
      <c r="G79" s="94">
        <f t="shared" si="16"/>
        <v>13027.602152408776</v>
      </c>
      <c r="I79" s="142"/>
    </row>
    <row r="80" spans="2:9" x14ac:dyDescent="0.25">
      <c r="C80" s="81">
        <f>SUM(C71:C79)</f>
        <v>294894.23</v>
      </c>
      <c r="E80" s="129">
        <f>SUM(E71:E79)</f>
        <v>1585.1423887983674</v>
      </c>
      <c r="F80" s="129">
        <f>SUM(F71:F79)</f>
        <v>397.94179458835691</v>
      </c>
      <c r="G80" s="101">
        <f>SUM(G71:G79)</f>
        <v>400264.30795711896</v>
      </c>
    </row>
  </sheetData>
  <mergeCells count="7">
    <mergeCell ref="B55:G55"/>
    <mergeCell ref="B69:G69"/>
    <mergeCell ref="B5:C5"/>
    <mergeCell ref="B12:C12"/>
    <mergeCell ref="B14:G14"/>
    <mergeCell ref="B28:G28"/>
    <mergeCell ref="B41:G41"/>
  </mergeCells>
  <pageMargins left="0.51181102362204722" right="0.51181102362204722" top="0.78740157480314965" bottom="0.78740157480314965" header="0.31496062992125984" footer="0.31496062992125984"/>
  <pageSetup paperSize="9" scale="44" orientation="portrait" r:id="rId1"/>
  <rowBreaks count="1" manualBreakCount="1">
    <brk id="40" min="1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7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3.42578125" customWidth="1"/>
    <col min="2" max="2" width="31.5703125" bestFit="1" customWidth="1"/>
    <col min="3" max="3" width="14.28515625" style="82" bestFit="1" customWidth="1"/>
    <col min="4" max="4" width="16" style="82" bestFit="1" customWidth="1"/>
    <col min="5" max="6" width="6.140625" customWidth="1"/>
    <col min="7" max="7" width="26" bestFit="1" customWidth="1"/>
    <col min="8" max="8" width="14.28515625" style="82" bestFit="1" customWidth="1"/>
    <col min="9" max="9" width="10.85546875" style="82" customWidth="1"/>
    <col min="10" max="10" width="8.42578125" bestFit="1" customWidth="1"/>
    <col min="11" max="13" width="14.28515625" bestFit="1" customWidth="1"/>
    <col min="14" max="14" width="14.85546875" customWidth="1"/>
  </cols>
  <sheetData>
    <row r="1" spans="1:18" x14ac:dyDescent="0.25">
      <c r="A1" s="170"/>
      <c r="B1" s="170"/>
      <c r="C1" s="171" t="s">
        <v>88</v>
      </c>
      <c r="D1" s="172" t="s">
        <v>299</v>
      </c>
      <c r="E1" s="170"/>
      <c r="F1" s="170"/>
      <c r="G1" s="170"/>
      <c r="H1" s="183"/>
      <c r="I1" s="183"/>
      <c r="J1" s="170"/>
      <c r="K1" s="170"/>
      <c r="L1" s="170"/>
      <c r="M1" s="170"/>
      <c r="N1" s="170"/>
      <c r="O1" s="170"/>
    </row>
    <row r="2" spans="1:18" x14ac:dyDescent="0.25">
      <c r="A2" s="170"/>
      <c r="B2" s="173" t="s">
        <v>87</v>
      </c>
      <c r="C2" s="174">
        <f>219562.55</f>
        <v>219562.55</v>
      </c>
      <c r="D2" s="175">
        <v>61000</v>
      </c>
      <c r="E2" s="170"/>
      <c r="F2" s="170"/>
      <c r="G2" s="114" t="s">
        <v>275</v>
      </c>
      <c r="H2" s="114" t="s">
        <v>202</v>
      </c>
      <c r="I2" s="114"/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70"/>
    </row>
    <row r="3" spans="1:18" ht="15.75" x14ac:dyDescent="0.25">
      <c r="A3" s="170"/>
      <c r="B3" s="170" t="s">
        <v>302</v>
      </c>
      <c r="C3" s="176"/>
      <c r="D3" s="176">
        <f>(269335.21)/12</f>
        <v>22444.600833333334</v>
      </c>
      <c r="E3" s="170"/>
      <c r="F3" s="170"/>
      <c r="G3" s="115" t="s">
        <v>93</v>
      </c>
      <c r="H3" s="85">
        <f>$D$9*I3</f>
        <v>51018.943914438365</v>
      </c>
      <c r="I3" s="169">
        <f>15.4685495698044%+4.0864159343077%+3.96%</f>
        <v>0.23514965504112101</v>
      </c>
      <c r="J3" s="130">
        <f>L23</f>
        <v>37</v>
      </c>
      <c r="K3" s="92">
        <f t="shared" ref="K3:K4" si="0">J3*$D$6</f>
        <v>23696.536396857922</v>
      </c>
      <c r="L3" s="94">
        <f>H3+K3</f>
        <v>74715.480311296284</v>
      </c>
      <c r="M3" s="138">
        <v>21517.370000000003</v>
      </c>
      <c r="N3" s="139">
        <f>M3-L3</f>
        <v>-53198.110311296281</v>
      </c>
      <c r="O3" s="170"/>
    </row>
    <row r="4" spans="1:18" ht="15.75" x14ac:dyDescent="0.25">
      <c r="A4" s="170"/>
      <c r="B4" s="177" t="s">
        <v>91</v>
      </c>
      <c r="C4" s="178"/>
      <c r="D4" s="178">
        <f>58259.56+(58259.56*25%)</f>
        <v>72824.45</v>
      </c>
      <c r="E4" s="170"/>
      <c r="F4" s="170"/>
      <c r="G4" s="115" t="s">
        <v>77</v>
      </c>
      <c r="H4" s="85">
        <f>$D$9*I4</f>
        <v>27553.071705257928</v>
      </c>
      <c r="I4" s="169">
        <f>10.6129753303968%+2.0864159343077%</f>
        <v>0.12699391264704499</v>
      </c>
      <c r="J4" s="130">
        <f>L20</f>
        <v>9</v>
      </c>
      <c r="K4" s="92">
        <f t="shared" si="0"/>
        <v>5764.0223668032786</v>
      </c>
      <c r="L4" s="94">
        <f>H4+K4</f>
        <v>33317.094072061205</v>
      </c>
      <c r="M4" s="138">
        <v>4497.7800000000007</v>
      </c>
      <c r="N4" s="139">
        <f t="shared" ref="N4:N7" si="1">M4-L4</f>
        <v>-28819.314072061206</v>
      </c>
      <c r="O4" s="170"/>
    </row>
    <row r="5" spans="1:18" ht="15.75" x14ac:dyDescent="0.25">
      <c r="A5" s="170"/>
      <c r="B5" s="212" t="s">
        <v>198</v>
      </c>
      <c r="C5" s="212"/>
      <c r="D5" s="179">
        <f>SUM(D2:D4)</f>
        <v>156269.05083333334</v>
      </c>
      <c r="E5" s="170"/>
      <c r="F5" s="170"/>
      <c r="G5" s="115" t="s">
        <v>94</v>
      </c>
      <c r="H5" s="85">
        <f>$D$9*I5+10528.8</f>
        <v>67501.570227013464</v>
      </c>
      <c r="I5" s="169">
        <f>22.1727071241527%+4.0864159343077%</f>
        <v>0.26259123058460404</v>
      </c>
      <c r="J5" s="130">
        <f>L21</f>
        <v>49</v>
      </c>
      <c r="K5" s="92">
        <f>J5*$D$6</f>
        <v>31381.899552595627</v>
      </c>
      <c r="L5" s="94">
        <f>H5+K5</f>
        <v>98883.469779609091</v>
      </c>
      <c r="M5" s="138">
        <v>22947.769999999997</v>
      </c>
      <c r="N5" s="139">
        <f t="shared" si="1"/>
        <v>-75935.699779609102</v>
      </c>
      <c r="O5" s="170"/>
    </row>
    <row r="6" spans="1:18" ht="15.75" x14ac:dyDescent="0.25">
      <c r="A6" s="170"/>
      <c r="B6" s="180" t="s">
        <v>204</v>
      </c>
      <c r="C6" s="181">
        <f>J8</f>
        <v>244</v>
      </c>
      <c r="D6" s="182">
        <f>D5/C6</f>
        <v>640.44692964480873</v>
      </c>
      <c r="E6" s="170"/>
      <c r="F6" s="170"/>
      <c r="G6" s="115" t="s">
        <v>95</v>
      </c>
      <c r="H6" s="85">
        <f>$D$9*I6</f>
        <v>44039.9159536273</v>
      </c>
      <c r="I6" s="169">
        <f>16.2118698591085%+4.0864159343077%</f>
        <v>0.20298285793416199</v>
      </c>
      <c r="J6" s="130">
        <f>L22</f>
        <v>64</v>
      </c>
      <c r="K6" s="92">
        <f>J6*$D$6</f>
        <v>40988.603497267759</v>
      </c>
      <c r="L6" s="94">
        <f>H6+K6</f>
        <v>85028.519450895052</v>
      </c>
      <c r="M6" s="138">
        <v>41923.269999999997</v>
      </c>
      <c r="N6" s="139">
        <f t="shared" si="1"/>
        <v>-43105.249450895055</v>
      </c>
      <c r="O6" s="170"/>
    </row>
    <row r="7" spans="1:18" ht="15.75" x14ac:dyDescent="0.25">
      <c r="A7" s="170"/>
      <c r="B7" s="170"/>
      <c r="C7" s="183"/>
      <c r="D7" s="183"/>
      <c r="E7" s="170"/>
      <c r="F7" s="170"/>
      <c r="G7" s="115" t="s">
        <v>82</v>
      </c>
      <c r="H7" s="85">
        <f>$D$9*I7</f>
        <v>37371.621005782879</v>
      </c>
      <c r="I7" s="169">
        <v>0.17224824964184279</v>
      </c>
      <c r="J7" s="130">
        <f>L24</f>
        <v>85</v>
      </c>
      <c r="K7" s="92">
        <f>J7*$D$6</f>
        <v>54437.989019808745</v>
      </c>
      <c r="L7" s="94">
        <f>H7+K7</f>
        <v>91809.610025591624</v>
      </c>
      <c r="M7" s="138">
        <v>65511.499999999985</v>
      </c>
      <c r="N7" s="139">
        <f t="shared" si="1"/>
        <v>-26298.110025591639</v>
      </c>
      <c r="O7" s="170"/>
    </row>
    <row r="8" spans="1:18" ht="15.75" x14ac:dyDescent="0.25">
      <c r="A8" s="170"/>
      <c r="B8" s="173" t="s">
        <v>301</v>
      </c>
      <c r="C8" s="175"/>
      <c r="D8" s="175">
        <f>M8*1%</f>
        <v>1563.9769000000001</v>
      </c>
      <c r="E8" s="170"/>
      <c r="F8" s="170"/>
      <c r="G8" s="184"/>
      <c r="H8" s="179">
        <f t="shared" ref="H8:N8" si="2">SUM(H3:H7)</f>
        <v>227485.12280611994</v>
      </c>
      <c r="I8" s="207">
        <f t="shared" si="2"/>
        <v>0.99996590584877476</v>
      </c>
      <c r="J8" s="185">
        <f t="shared" si="2"/>
        <v>244</v>
      </c>
      <c r="K8" s="179">
        <f t="shared" si="2"/>
        <v>156269.05083333334</v>
      </c>
      <c r="L8" s="179">
        <f t="shared" si="2"/>
        <v>383754.17363945325</v>
      </c>
      <c r="M8" s="179">
        <f t="shared" si="2"/>
        <v>156397.69</v>
      </c>
      <c r="N8" s="140">
        <f t="shared" si="2"/>
        <v>-227356.4836394533</v>
      </c>
      <c r="O8" s="170"/>
    </row>
    <row r="9" spans="1:18" x14ac:dyDescent="0.25">
      <c r="A9" s="170"/>
      <c r="B9" s="177" t="s">
        <v>271</v>
      </c>
      <c r="C9" s="178"/>
      <c r="D9" s="178">
        <f>((42865.73+562.7)*4+(173000*25%))</f>
        <v>216963.72</v>
      </c>
      <c r="E9" s="170"/>
      <c r="F9" s="170"/>
      <c r="G9" s="170"/>
      <c r="H9" s="183"/>
      <c r="I9" s="183"/>
      <c r="J9" s="170"/>
      <c r="K9" s="170"/>
      <c r="L9" s="170"/>
      <c r="M9" s="170"/>
      <c r="N9" s="170"/>
      <c r="O9" s="170"/>
      <c r="P9" s="170"/>
    </row>
    <row r="10" spans="1:18" x14ac:dyDescent="0.25">
      <c r="A10" s="170"/>
      <c r="B10" s="170"/>
      <c r="C10" s="183"/>
      <c r="D10" s="179">
        <f>SUM(D8:D9)</f>
        <v>218527.69690000001</v>
      </c>
      <c r="E10" s="170"/>
      <c r="F10" s="170"/>
      <c r="G10" s="170"/>
      <c r="H10" s="183"/>
      <c r="I10" s="183"/>
      <c r="J10" s="170"/>
      <c r="K10" s="170"/>
      <c r="L10" s="170"/>
      <c r="N10" s="170"/>
      <c r="O10" s="170"/>
      <c r="P10" s="170"/>
    </row>
    <row r="11" spans="1:18" ht="6.75" customHeight="1" x14ac:dyDescent="0.25">
      <c r="A11" s="170"/>
      <c r="B11" s="170"/>
      <c r="C11" s="183"/>
      <c r="D11" s="183"/>
      <c r="E11" s="170"/>
      <c r="F11" s="170"/>
      <c r="G11" s="184"/>
      <c r="H11" s="186"/>
      <c r="I11" s="186"/>
      <c r="J11" s="187"/>
      <c r="K11" s="187"/>
      <c r="L11" s="187"/>
      <c r="M11" s="170"/>
      <c r="N11" s="187"/>
      <c r="O11" s="187"/>
      <c r="P11" s="170"/>
    </row>
    <row r="12" spans="1:18" ht="15.75" x14ac:dyDescent="0.25">
      <c r="B12" s="211" t="s">
        <v>272</v>
      </c>
      <c r="C12" s="211"/>
      <c r="D12" s="112">
        <f>D10+D5</f>
        <v>374796.74773333338</v>
      </c>
      <c r="G12" s="184"/>
      <c r="H12" s="188"/>
      <c r="I12" s="188"/>
      <c r="J12" s="189"/>
      <c r="K12" s="190"/>
      <c r="L12" s="191"/>
      <c r="M12" s="170"/>
      <c r="N12" s="187"/>
      <c r="O12" s="187"/>
      <c r="P12" s="170"/>
    </row>
    <row r="13" spans="1:18" x14ac:dyDescent="0.25">
      <c r="G13" s="170"/>
      <c r="H13" s="192"/>
      <c r="I13" s="183"/>
      <c r="J13" s="170"/>
      <c r="K13" s="193"/>
      <c r="L13" s="194"/>
      <c r="M13" s="187"/>
      <c r="N13" s="187"/>
      <c r="O13" s="187"/>
      <c r="P13" s="170"/>
    </row>
    <row r="14" spans="1:18" s="116" customFormat="1" x14ac:dyDescent="0.25">
      <c r="B14" s="208" t="s">
        <v>304</v>
      </c>
      <c r="C14" s="208"/>
      <c r="D14" s="208"/>
      <c r="E14" s="208"/>
      <c r="F14" s="208"/>
      <c r="G14" s="208"/>
      <c r="H14" s="132"/>
      <c r="K14" s="119"/>
      <c r="L14" s="121"/>
      <c r="N14" s="187"/>
      <c r="O14" s="187"/>
      <c r="P14" s="187"/>
    </row>
    <row r="15" spans="1:18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32"/>
      <c r="K15" s="195" t="s">
        <v>303</v>
      </c>
      <c r="L15" s="195"/>
      <c r="M15" s="196"/>
      <c r="N15" s="195"/>
      <c r="O15" s="195"/>
      <c r="P15" s="195"/>
      <c r="Q15" s="195"/>
      <c r="R15" s="195"/>
    </row>
    <row r="16" spans="1:18" s="116" customFormat="1" ht="15.75" x14ac:dyDescent="0.25">
      <c r="B16" s="115" t="s">
        <v>93</v>
      </c>
      <c r="C16" s="85">
        <f>M3</f>
        <v>21517.370000000003</v>
      </c>
      <c r="D16" s="125">
        <f>((C16+(C16*-10%))/J3)</f>
        <v>523.39548648648656</v>
      </c>
      <c r="E16" s="128">
        <f>L3/D16</f>
        <v>142.75147998095193</v>
      </c>
      <c r="F16" s="128">
        <f>E16/4</f>
        <v>35.687869995237982</v>
      </c>
      <c r="G16" s="94">
        <f t="shared" ref="G16:G20" si="3">E16*D16</f>
        <v>74715.480311296284</v>
      </c>
      <c r="H16" s="132"/>
      <c r="K16" s="198">
        <f>D9</f>
        <v>216963.72</v>
      </c>
      <c r="L16" s="199"/>
      <c r="N16" s="195"/>
      <c r="O16" s="195"/>
      <c r="P16" s="195"/>
      <c r="Q16" s="195"/>
      <c r="R16" s="195"/>
    </row>
    <row r="17" spans="2:18" s="116" customFormat="1" ht="15.75" x14ac:dyDescent="0.25">
      <c r="B17" s="115" t="s">
        <v>77</v>
      </c>
      <c r="C17" s="85">
        <f t="shared" ref="C17:C20" si="4">M4</f>
        <v>4497.7800000000007</v>
      </c>
      <c r="D17" s="125">
        <f t="shared" ref="D17:D20" si="5">((C17+(C17*-10%))/J4)</f>
        <v>449.77800000000002</v>
      </c>
      <c r="E17" s="128">
        <f>L4/D17</f>
        <v>74.074530261731795</v>
      </c>
      <c r="F17" s="128">
        <f>E17/5</f>
        <v>14.814906052346359</v>
      </c>
      <c r="G17" s="94">
        <f t="shared" si="3"/>
        <v>33317.094072061205</v>
      </c>
      <c r="H17" s="132"/>
      <c r="K17" s="198"/>
      <c r="L17" s="200"/>
      <c r="N17" s="195"/>
      <c r="O17" s="195"/>
      <c r="P17" s="195"/>
      <c r="Q17" s="195"/>
      <c r="R17" s="195"/>
    </row>
    <row r="18" spans="2:18" s="116" customFormat="1" ht="15.75" x14ac:dyDescent="0.25">
      <c r="B18" s="115" t="s">
        <v>94</v>
      </c>
      <c r="C18" s="85">
        <f t="shared" si="4"/>
        <v>22947.769999999997</v>
      </c>
      <c r="D18" s="125">
        <f t="shared" si="5"/>
        <v>421.48965306122449</v>
      </c>
      <c r="E18" s="128">
        <f>L5/D18</f>
        <v>234.60473836411242</v>
      </c>
      <c r="F18" s="128">
        <f>E18/5</f>
        <v>46.920947672822486</v>
      </c>
      <c r="G18" s="94">
        <f t="shared" si="3"/>
        <v>98883.469779609091</v>
      </c>
      <c r="H18" s="122"/>
      <c r="K18" s="201"/>
      <c r="L18" s="197"/>
      <c r="N18" s="195"/>
      <c r="O18" s="195"/>
      <c r="P18" s="195"/>
      <c r="Q18" s="195"/>
      <c r="R18" s="195"/>
    </row>
    <row r="19" spans="2:18" s="116" customFormat="1" ht="15.75" x14ac:dyDescent="0.25">
      <c r="B19" s="115" t="s">
        <v>95</v>
      </c>
      <c r="C19" s="85">
        <f t="shared" si="4"/>
        <v>41923.269999999997</v>
      </c>
      <c r="D19" s="125">
        <f t="shared" si="5"/>
        <v>589.54598437499999</v>
      </c>
      <c r="E19" s="128">
        <f>L6/D19</f>
        <v>144.22712002870651</v>
      </c>
      <c r="F19" s="128">
        <f>E19/5</f>
        <v>28.8454240057413</v>
      </c>
      <c r="G19" s="94">
        <f t="shared" si="3"/>
        <v>85028.519450895052</v>
      </c>
      <c r="H19" s="122"/>
      <c r="K19" s="201"/>
      <c r="L19" s="197"/>
      <c r="M19" s="201"/>
      <c r="N19" s="195"/>
      <c r="O19" s="195"/>
      <c r="P19" s="195"/>
      <c r="Q19" s="195"/>
      <c r="R19" s="195"/>
    </row>
    <row r="20" spans="2:18" s="116" customFormat="1" ht="15.75" x14ac:dyDescent="0.25">
      <c r="B20" s="115" t="s">
        <v>82</v>
      </c>
      <c r="C20" s="85">
        <f t="shared" si="4"/>
        <v>65511.499999999985</v>
      </c>
      <c r="D20" s="125">
        <f t="shared" si="5"/>
        <v>693.6511764705881</v>
      </c>
      <c r="E20" s="128">
        <f>L7/D20</f>
        <v>132.35703065153598</v>
      </c>
      <c r="F20" s="128">
        <f>E20/5</f>
        <v>26.471406130307194</v>
      </c>
      <c r="G20" s="94">
        <f t="shared" si="3"/>
        <v>91809.610025591624</v>
      </c>
      <c r="H20" s="117"/>
      <c r="K20" s="196" t="s">
        <v>296</v>
      </c>
      <c r="L20" s="195">
        <f>4+5</f>
        <v>9</v>
      </c>
      <c r="M20" s="205">
        <f>L20/$L$25</f>
        <v>3.6885245901639344E-2</v>
      </c>
      <c r="N20" s="195"/>
      <c r="O20" s="195"/>
      <c r="P20" s="195"/>
      <c r="Q20" s="195"/>
      <c r="R20" s="195"/>
    </row>
    <row r="21" spans="2:18" s="116" customFormat="1" x14ac:dyDescent="0.25">
      <c r="B21"/>
      <c r="C21" s="81">
        <f>SUM(C16:C20)</f>
        <v>156397.69</v>
      </c>
      <c r="D21" s="117"/>
      <c r="E21" s="129">
        <f>SUM(E16:E20)</f>
        <v>728.01489928703859</v>
      </c>
      <c r="F21" s="129">
        <f>SUM(F16:F20)</f>
        <v>152.74055385645534</v>
      </c>
      <c r="G21" s="101">
        <f>SUM(G16:G20)</f>
        <v>383754.17363945325</v>
      </c>
      <c r="H21" s="82"/>
      <c r="K21" s="196" t="s">
        <v>80</v>
      </c>
      <c r="L21" s="195">
        <v>49</v>
      </c>
      <c r="M21" s="205">
        <f>L21/$L$25</f>
        <v>0.20081967213114754</v>
      </c>
      <c r="N21" s="203"/>
      <c r="O21" s="203"/>
      <c r="P21" s="195"/>
      <c r="Q21" s="195"/>
      <c r="R21" s="195"/>
    </row>
    <row r="22" spans="2:18" s="116" customFormat="1" x14ac:dyDescent="0.25">
      <c r="B22"/>
      <c r="C22" s="81"/>
      <c r="D22" s="117"/>
      <c r="E22" s="117"/>
      <c r="F22" s="117"/>
      <c r="G22" s="101"/>
      <c r="H22" s="82"/>
      <c r="K22" s="196" t="s">
        <v>300</v>
      </c>
      <c r="L22" s="195">
        <v>64</v>
      </c>
      <c r="M22" s="205">
        <f>L22/$L$25</f>
        <v>0.26229508196721313</v>
      </c>
      <c r="N22" s="203"/>
      <c r="O22" s="203"/>
      <c r="P22" s="195"/>
      <c r="Q22" s="195"/>
      <c r="R22" s="195"/>
    </row>
    <row r="23" spans="2:18" s="116" customFormat="1" x14ac:dyDescent="0.25">
      <c r="B23" s="208" t="s">
        <v>284</v>
      </c>
      <c r="C23" s="208"/>
      <c r="D23" s="208"/>
      <c r="E23" s="208"/>
      <c r="F23" s="208"/>
      <c r="G23" s="208"/>
      <c r="H23" s="82"/>
      <c r="K23" s="196" t="s">
        <v>76</v>
      </c>
      <c r="L23" s="195">
        <v>37</v>
      </c>
      <c r="M23" s="205">
        <f>L23/$L$25</f>
        <v>0.15163934426229508</v>
      </c>
      <c r="N23" s="203"/>
      <c r="O23" s="203"/>
      <c r="P23" s="195"/>
      <c r="Q23" s="195"/>
      <c r="R23" s="195"/>
    </row>
    <row r="24" spans="2:18" x14ac:dyDescent="0.25">
      <c r="B24" s="114" t="s">
        <v>275</v>
      </c>
      <c r="C24" s="114" t="s">
        <v>280</v>
      </c>
      <c r="D24" s="126" t="s">
        <v>277</v>
      </c>
      <c r="E24" s="114" t="s">
        <v>281</v>
      </c>
      <c r="F24" s="127" t="s">
        <v>278</v>
      </c>
      <c r="G24" s="114" t="s">
        <v>198</v>
      </c>
      <c r="K24" s="197" t="s">
        <v>295</v>
      </c>
      <c r="L24" s="195">
        <v>85</v>
      </c>
      <c r="M24" s="205">
        <f>L24/$L$25</f>
        <v>0.34836065573770492</v>
      </c>
      <c r="N24" s="203"/>
      <c r="O24" s="203"/>
      <c r="P24" s="203"/>
      <c r="Q24" s="203"/>
      <c r="R24" s="203"/>
    </row>
    <row r="25" spans="2:18" ht="15.75" x14ac:dyDescent="0.25">
      <c r="B25" s="115" t="s">
        <v>92</v>
      </c>
      <c r="C25" s="133">
        <v>2</v>
      </c>
      <c r="D25" s="125" t="e">
        <f>((#REF!+(#REF!*-2.4%)))/#REF!</f>
        <v>#REF!</v>
      </c>
      <c r="E25" s="141">
        <v>1.3522870438339654E-2</v>
      </c>
      <c r="F25" s="128" t="e">
        <f>#REF!/D25</f>
        <v>#REF!</v>
      </c>
      <c r="G25" s="94" t="e">
        <f>F25*D25</f>
        <v>#REF!</v>
      </c>
      <c r="K25" s="202"/>
      <c r="L25" s="204">
        <f>SUM(L20:L24)</f>
        <v>244</v>
      </c>
      <c r="M25" s="206">
        <f>SUM(M20:M24)</f>
        <v>1</v>
      </c>
      <c r="N25" s="203"/>
      <c r="O25" s="203"/>
      <c r="P25" s="203"/>
      <c r="Q25" s="203"/>
      <c r="R25" s="203"/>
    </row>
    <row r="26" spans="2:18" ht="15.75" x14ac:dyDescent="0.25">
      <c r="B26" s="115" t="s">
        <v>93</v>
      </c>
      <c r="C26" s="133">
        <v>10</v>
      </c>
      <c r="D26" s="125">
        <f>((C16+(C16*-7.5%))/J3)</f>
        <v>537.93425000000013</v>
      </c>
      <c r="E26" s="141">
        <v>6.5183649460298712E-2</v>
      </c>
      <c r="F26" s="128">
        <f>(L3/D26)/4</f>
        <v>34.723332968339655</v>
      </c>
      <c r="G26" s="94">
        <f>(F26*D26)*4</f>
        <v>74715.480311296284</v>
      </c>
      <c r="I26" s="202"/>
      <c r="J26" s="203"/>
      <c r="K26" s="203"/>
      <c r="L26" s="203"/>
      <c r="M26" s="203"/>
      <c r="N26" s="203"/>
      <c r="O26" s="203"/>
      <c r="P26" s="203"/>
      <c r="Q26" s="203"/>
      <c r="R26" s="203"/>
    </row>
    <row r="27" spans="2:18" ht="15.75" x14ac:dyDescent="0.25">
      <c r="B27" s="115" t="s">
        <v>77</v>
      </c>
      <c r="C27" s="133">
        <v>12</v>
      </c>
      <c r="D27" s="125">
        <f>((C17+(C17*-16.9%))/J4)</f>
        <v>415.29502000000008</v>
      </c>
      <c r="E27" s="141">
        <v>0.15933177999182874</v>
      </c>
      <c r="F27" s="128">
        <f>(L4/D27)/5</f>
        <v>16.045024605429269</v>
      </c>
      <c r="G27" s="94">
        <f>(F27*D27)*5</f>
        <v>33317.094072061213</v>
      </c>
      <c r="I27" s="202"/>
      <c r="J27" s="203"/>
      <c r="K27" s="203"/>
      <c r="L27" s="203"/>
      <c r="M27" s="203"/>
      <c r="N27" s="203"/>
      <c r="O27" s="203"/>
      <c r="P27" s="203"/>
      <c r="Q27" s="203"/>
      <c r="R27" s="203"/>
    </row>
    <row r="28" spans="2:18" ht="15.75" x14ac:dyDescent="0.25">
      <c r="B28" s="115" t="s">
        <v>78</v>
      </c>
      <c r="C28" s="133">
        <v>7</v>
      </c>
      <c r="D28" s="125" t="e">
        <f>((#REF!+(#REF!*-17.4%))/#REF!)</f>
        <v>#REF!</v>
      </c>
      <c r="E28" s="141">
        <v>0.16399916727586</v>
      </c>
      <c r="F28" s="128" t="e">
        <f>(#REF!/D28)/4</f>
        <v>#REF!</v>
      </c>
      <c r="G28" s="94" t="e">
        <f t="shared" ref="G28" si="6">(F28*D28)*4</f>
        <v>#REF!</v>
      </c>
      <c r="I28" s="202"/>
      <c r="J28" s="203"/>
      <c r="K28" s="203"/>
      <c r="L28" s="203"/>
      <c r="M28" s="203"/>
      <c r="N28" s="203"/>
      <c r="O28" s="203"/>
      <c r="P28" s="203"/>
      <c r="Q28" s="203"/>
      <c r="R28" s="203"/>
    </row>
    <row r="29" spans="2:18" ht="15.75" x14ac:dyDescent="0.25">
      <c r="B29" s="115" t="s">
        <v>94</v>
      </c>
      <c r="C29" s="133">
        <v>38</v>
      </c>
      <c r="D29" s="125">
        <f>((C18+(C18*-19.5%))/J5)</f>
        <v>376.99907857142853</v>
      </c>
      <c r="E29" s="141">
        <v>0.18492226927821614</v>
      </c>
      <c r="F29" s="128">
        <f>(L5/D29)/5</f>
        <v>52.458202367130738</v>
      </c>
      <c r="G29" s="94">
        <f>(F29*D29)*5</f>
        <v>98883.469779609091</v>
      </c>
    </row>
    <row r="30" spans="2:18" ht="15.75" x14ac:dyDescent="0.25">
      <c r="B30" s="115" t="s">
        <v>95</v>
      </c>
      <c r="C30" s="133">
        <v>17</v>
      </c>
      <c r="D30" s="125">
        <f>((C19+(C19*-13.8%))/J6)</f>
        <v>564.65404281249994</v>
      </c>
      <c r="E30" s="141">
        <v>0.12792388546514094</v>
      </c>
      <c r="F30" s="128">
        <f>(L6/D30)/5</f>
        <v>30.117032024555886</v>
      </c>
      <c r="G30" s="94">
        <f>(F30*D30)*5</f>
        <v>85028.519450895052</v>
      </c>
    </row>
    <row r="31" spans="2:18" ht="15.75" x14ac:dyDescent="0.25">
      <c r="B31" s="115" t="s">
        <v>82</v>
      </c>
      <c r="C31" s="133">
        <v>17</v>
      </c>
      <c r="D31" s="125">
        <f>((C20+(C20*-16.4%))/J7)</f>
        <v>644.32487058823517</v>
      </c>
      <c r="E31" s="141">
        <v>0.15365210598839707</v>
      </c>
      <c r="F31" s="128">
        <f>(L7/D31)/5</f>
        <v>28.497925259900093</v>
      </c>
      <c r="G31" s="94">
        <f>(F31*D31)*5</f>
        <v>91809.610025591624</v>
      </c>
    </row>
    <row r="32" spans="2:18" x14ac:dyDescent="0.25">
      <c r="F32" s="129" t="e">
        <f>SUM(F24:F31)</f>
        <v>#REF!</v>
      </c>
      <c r="G32" s="101" t="e">
        <f>SUM(G25:G31)</f>
        <v>#REF!</v>
      </c>
      <c r="H32"/>
      <c r="I32"/>
    </row>
    <row r="33" spans="2:9" x14ac:dyDescent="0.25">
      <c r="G33" s="101"/>
      <c r="H33"/>
      <c r="I33"/>
    </row>
    <row r="34" spans="2:9" x14ac:dyDescent="0.25">
      <c r="B34" s="208" t="s">
        <v>285</v>
      </c>
      <c r="C34" s="208"/>
      <c r="D34" s="208"/>
      <c r="E34" s="208"/>
      <c r="F34" s="208"/>
      <c r="G34" s="208"/>
      <c r="H34"/>
      <c r="I34"/>
    </row>
    <row r="35" spans="2:9" x14ac:dyDescent="0.25">
      <c r="B35" s="114" t="s">
        <v>275</v>
      </c>
      <c r="C35" s="114" t="s">
        <v>282</v>
      </c>
      <c r="D35" s="126" t="s">
        <v>277</v>
      </c>
      <c r="E35" s="127" t="s">
        <v>278</v>
      </c>
      <c r="F35" s="127" t="s">
        <v>278</v>
      </c>
      <c r="G35" s="114" t="s">
        <v>198</v>
      </c>
      <c r="H35"/>
      <c r="I35"/>
    </row>
    <row r="36" spans="2:9" ht="15.75" x14ac:dyDescent="0.25">
      <c r="B36" s="115" t="s">
        <v>92</v>
      </c>
      <c r="C36" s="135">
        <v>0.17</v>
      </c>
      <c r="D36" s="125" t="e">
        <f>((#REF!+(#REF!*-18%))/#REF!)</f>
        <v>#REF!</v>
      </c>
      <c r="E36" s="128" t="e">
        <f>#REF!/D36</f>
        <v>#REF!</v>
      </c>
      <c r="F36" s="128" t="e">
        <f>E36/2</f>
        <v>#REF!</v>
      </c>
      <c r="G36" s="94" t="e">
        <f>E36*D36</f>
        <v>#REF!</v>
      </c>
      <c r="H36"/>
      <c r="I36"/>
    </row>
    <row r="37" spans="2:9" ht="15.75" x14ac:dyDescent="0.25">
      <c r="B37" s="115" t="s">
        <v>93</v>
      </c>
      <c r="C37" s="135">
        <v>0.15</v>
      </c>
      <c r="D37" s="125">
        <f>((C16+(C16*-16%))/J3)</f>
        <v>488.50245405405411</v>
      </c>
      <c r="E37" s="128">
        <f>L3/D37</f>
        <v>152.94801426530563</v>
      </c>
      <c r="F37" s="128">
        <f>E37/4</f>
        <v>38.237003566326408</v>
      </c>
      <c r="G37" s="94">
        <f>(F37*D37)*4</f>
        <v>74715.480311296284</v>
      </c>
      <c r="H37"/>
      <c r="I37"/>
    </row>
    <row r="38" spans="2:9" ht="15.75" x14ac:dyDescent="0.25">
      <c r="B38" s="115" t="s">
        <v>77</v>
      </c>
      <c r="C38" s="135">
        <v>0.46</v>
      </c>
      <c r="D38" s="125">
        <f>((C17+(C17*-47%))/J4)</f>
        <v>264.86926666666676</v>
      </c>
      <c r="E38" s="128">
        <f>L4/D38</f>
        <v>125.78693818029923</v>
      </c>
      <c r="F38" s="128">
        <f>E38/5</f>
        <v>25.157387636059845</v>
      </c>
      <c r="G38" s="94">
        <f>(F38*D38)*5</f>
        <v>33317.094072061198</v>
      </c>
      <c r="H38"/>
      <c r="I38"/>
    </row>
    <row r="39" spans="2:9" ht="15.75" x14ac:dyDescent="0.25">
      <c r="B39" s="115" t="s">
        <v>78</v>
      </c>
      <c r="C39" s="135">
        <v>0.19</v>
      </c>
      <c r="D39" s="125" t="e">
        <f>((#REF!+(#REF!*-20%))/#REF!)</f>
        <v>#REF!</v>
      </c>
      <c r="E39" s="128" t="e">
        <f>#REF!/D39</f>
        <v>#REF!</v>
      </c>
      <c r="F39" s="128" t="e">
        <f>E39/4</f>
        <v>#REF!</v>
      </c>
      <c r="G39" s="94" t="e">
        <f t="shared" ref="G39" si="7">(F39*D39)*4</f>
        <v>#REF!</v>
      </c>
      <c r="H39"/>
      <c r="I39"/>
    </row>
    <row r="40" spans="2:9" ht="15.75" x14ac:dyDescent="0.25">
      <c r="B40" s="115" t="s">
        <v>94</v>
      </c>
      <c r="C40" s="135">
        <v>0.23</v>
      </c>
      <c r="D40" s="125">
        <f>((C18+(C18*-24%))/J5)</f>
        <v>355.92459591836734</v>
      </c>
      <c r="E40" s="128">
        <f>L5/D40</f>
        <v>277.82140069434365</v>
      </c>
      <c r="F40" s="128">
        <f>E40/5</f>
        <v>55.564280138868732</v>
      </c>
      <c r="G40" s="94">
        <f>(F40*D40)*5</f>
        <v>98883.469779609091</v>
      </c>
      <c r="H40"/>
      <c r="I40"/>
    </row>
    <row r="41" spans="2:9" ht="15.75" x14ac:dyDescent="0.25">
      <c r="B41" s="115" t="s">
        <v>95</v>
      </c>
      <c r="C41" s="135">
        <v>0.19</v>
      </c>
      <c r="D41" s="125">
        <f>((C19+(C19*-20%))/J6)</f>
        <v>524.04087499999991</v>
      </c>
      <c r="E41" s="128">
        <f>L6/D41</f>
        <v>162.25551003229484</v>
      </c>
      <c r="F41" s="128">
        <f>E41/5</f>
        <v>32.451102006458967</v>
      </c>
      <c r="G41" s="94">
        <f>(F41*D41)*5</f>
        <v>85028.519450895052</v>
      </c>
    </row>
    <row r="42" spans="2:9" ht="15.75" x14ac:dyDescent="0.25">
      <c r="B42" s="115" t="s">
        <v>82</v>
      </c>
      <c r="C42" s="135">
        <v>0.1</v>
      </c>
      <c r="D42" s="125">
        <f>((C20+(C20*-11%))/J7)</f>
        <v>685.94394117647039</v>
      </c>
      <c r="E42" s="128">
        <f>L7/D42</f>
        <v>133.84418829930607</v>
      </c>
      <c r="F42" s="128">
        <f>E42/5</f>
        <v>26.768837659861212</v>
      </c>
      <c r="G42" s="94">
        <f>(F42*D42)*5</f>
        <v>91809.610025591624</v>
      </c>
    </row>
    <row r="43" spans="2:9" x14ac:dyDescent="0.25">
      <c r="E43" s="129" t="e">
        <f>SUM(E36:E42)</f>
        <v>#REF!</v>
      </c>
      <c r="F43" s="129" t="e">
        <f>SUM(F36:F42)</f>
        <v>#REF!</v>
      </c>
      <c r="G43" s="101" t="e">
        <f>SUM(G36:G42)</f>
        <v>#REF!</v>
      </c>
    </row>
    <row r="46" spans="2:9" x14ac:dyDescent="0.25">
      <c r="B46" s="208" t="s">
        <v>286</v>
      </c>
      <c r="C46" s="208"/>
      <c r="D46" s="208"/>
      <c r="E46" s="208"/>
      <c r="F46" s="208"/>
      <c r="G46" s="208"/>
    </row>
    <row r="47" spans="2:9" x14ac:dyDescent="0.25">
      <c r="B47" s="114" t="s">
        <v>275</v>
      </c>
      <c r="C47" s="114" t="s">
        <v>276</v>
      </c>
      <c r="D47" s="126" t="s">
        <v>277</v>
      </c>
      <c r="E47" s="127" t="s">
        <v>278</v>
      </c>
      <c r="F47" s="127" t="s">
        <v>278</v>
      </c>
      <c r="G47" s="114" t="s">
        <v>198</v>
      </c>
    </row>
    <row r="48" spans="2:9" ht="15.75" x14ac:dyDescent="0.25">
      <c r="B48" s="115" t="s">
        <v>92</v>
      </c>
      <c r="C48" s="85">
        <v>10802.81</v>
      </c>
      <c r="D48" s="125" t="e">
        <f>((#REF!+(#REF!*-32%))/#REF!)</f>
        <v>#REF!</v>
      </c>
      <c r="E48" s="128" t="e">
        <f>#REF!/D48</f>
        <v>#REF!</v>
      </c>
      <c r="F48" s="128" t="e">
        <f>E48/1</f>
        <v>#REF!</v>
      </c>
      <c r="G48" s="94" t="e">
        <f>E48*D48</f>
        <v>#REF!</v>
      </c>
    </row>
    <row r="49" spans="2:7" ht="15.75" x14ac:dyDescent="0.25">
      <c r="B49" s="115" t="s">
        <v>93</v>
      </c>
      <c r="C49" s="85">
        <v>53636.149999999994</v>
      </c>
      <c r="D49" s="125">
        <f>((C16+(C16*-30%))/J3)</f>
        <v>407.08537837837849</v>
      </c>
      <c r="E49" s="128">
        <f>L3/D49</f>
        <v>183.53761711836674</v>
      </c>
      <c r="F49" s="128">
        <f>E49/4</f>
        <v>45.884404279591685</v>
      </c>
      <c r="G49" s="94">
        <f>(F49*D49)*4</f>
        <v>74715.480311296284</v>
      </c>
    </row>
    <row r="50" spans="2:7" ht="15.75" x14ac:dyDescent="0.25">
      <c r="B50" s="115" t="s">
        <v>77</v>
      </c>
      <c r="C50" s="85">
        <v>28017.020000000004</v>
      </c>
      <c r="D50" s="125">
        <f>((C17+(C17*-61%))/J4)</f>
        <v>194.90380000000005</v>
      </c>
      <c r="E50" s="128">
        <f>L4/D50</f>
        <v>170.94122368091951</v>
      </c>
      <c r="F50" s="128">
        <f>E50/5</f>
        <v>34.188244736183904</v>
      </c>
      <c r="G50" s="94">
        <f>(F50*D50)*5</f>
        <v>33317.094072061213</v>
      </c>
    </row>
    <row r="51" spans="2:7" ht="15.75" x14ac:dyDescent="0.25">
      <c r="B51" s="115" t="s">
        <v>78</v>
      </c>
      <c r="C51" s="85">
        <v>17372.7</v>
      </c>
      <c r="D51" s="125" t="e">
        <f>((#REF!+(#REF!*-34%))/#REF!)</f>
        <v>#REF!</v>
      </c>
      <c r="E51" s="128" t="e">
        <f>#REF!/D51</f>
        <v>#REF!</v>
      </c>
      <c r="F51" s="128" t="e">
        <f>E51/4</f>
        <v>#REF!</v>
      </c>
      <c r="G51" s="94" t="e">
        <f t="shared" ref="G51" si="8">(F51*D51)*4</f>
        <v>#REF!</v>
      </c>
    </row>
    <row r="52" spans="2:7" ht="15.75" x14ac:dyDescent="0.25">
      <c r="B52" s="115" t="s">
        <v>94</v>
      </c>
      <c r="C52" s="85">
        <v>57359.55999999999</v>
      </c>
      <c r="D52" s="125">
        <f>((C18+(C18*-38%))/J5)</f>
        <v>290.35953877551015</v>
      </c>
      <c r="E52" s="128">
        <f>L5/D52</f>
        <v>340.55526536726006</v>
      </c>
      <c r="F52" s="128">
        <f>E52/5</f>
        <v>68.111053073452013</v>
      </c>
      <c r="G52" s="94">
        <f>(F52*D52)*5</f>
        <v>98883.469779609091</v>
      </c>
    </row>
    <row r="53" spans="2:7" ht="15.75" x14ac:dyDescent="0.25">
      <c r="B53" s="115" t="s">
        <v>95</v>
      </c>
      <c r="C53" s="85">
        <v>67611.089999999982</v>
      </c>
      <c r="D53" s="125">
        <f>((C19+(C19*-34%))/J6)</f>
        <v>432.33372187499992</v>
      </c>
      <c r="E53" s="128">
        <f>L6/D53</f>
        <v>196.6733454936907</v>
      </c>
      <c r="F53" s="128">
        <f>E53/5</f>
        <v>39.334669098738139</v>
      </c>
      <c r="G53" s="94">
        <f>(F53*D53)*5</f>
        <v>85028.519450895037</v>
      </c>
    </row>
    <row r="54" spans="2:7" ht="15.75" x14ac:dyDescent="0.25">
      <c r="B54" s="115" t="s">
        <v>82</v>
      </c>
      <c r="C54" s="85">
        <v>56968.500000000007</v>
      </c>
      <c r="D54" s="125">
        <f>((C20+(C20*-51%))/J7)</f>
        <v>377.65452941176466</v>
      </c>
      <c r="E54" s="128">
        <f>L7/D54</f>
        <v>243.10475017629057</v>
      </c>
      <c r="F54" s="128">
        <f>E54/5</f>
        <v>48.620950035258112</v>
      </c>
      <c r="G54" s="94">
        <f>(F54*D54)*5</f>
        <v>91809.610025591624</v>
      </c>
    </row>
    <row r="55" spans="2:7" x14ac:dyDescent="0.25">
      <c r="C55" s="81">
        <f>SUM(C48:C54)</f>
        <v>291767.82999999996</v>
      </c>
      <c r="E55" s="129" t="e">
        <f>SUM(E48:E54)</f>
        <v>#REF!</v>
      </c>
      <c r="F55" s="129" t="e">
        <f>SUM(F48:F54)</f>
        <v>#REF!</v>
      </c>
      <c r="G55" s="101" t="e">
        <f>SUM(G48:G54)</f>
        <v>#REF!</v>
      </c>
    </row>
    <row r="58" spans="2:7" x14ac:dyDescent="0.25">
      <c r="B58" s="208" t="s">
        <v>287</v>
      </c>
      <c r="C58" s="208"/>
      <c r="D58" s="208"/>
      <c r="E58" s="208"/>
      <c r="F58" s="208"/>
      <c r="G58" s="208"/>
    </row>
    <row r="59" spans="2:7" x14ac:dyDescent="0.25">
      <c r="B59" s="114" t="s">
        <v>275</v>
      </c>
      <c r="C59" s="114" t="s">
        <v>276</v>
      </c>
      <c r="D59" s="126" t="s">
        <v>277</v>
      </c>
      <c r="E59" s="127" t="s">
        <v>278</v>
      </c>
      <c r="F59" s="127" t="s">
        <v>278</v>
      </c>
      <c r="G59" s="114" t="s">
        <v>198</v>
      </c>
    </row>
    <row r="60" spans="2:7" ht="15.75" x14ac:dyDescent="0.25">
      <c r="B60" s="115" t="s">
        <v>92</v>
      </c>
      <c r="C60" s="85">
        <v>10802.81</v>
      </c>
      <c r="D60" s="125" t="e">
        <f>((#REF!+(#REF!*-19.4%))/#REF!)</f>
        <v>#REF!</v>
      </c>
      <c r="E60" s="128" t="e">
        <f>#REF!/D60</f>
        <v>#REF!</v>
      </c>
      <c r="F60" s="128" t="e">
        <f>E60/1</f>
        <v>#REF!</v>
      </c>
      <c r="G60" s="94" t="e">
        <f>E60*D60</f>
        <v>#REF!</v>
      </c>
    </row>
    <row r="61" spans="2:7" ht="15.75" x14ac:dyDescent="0.25">
      <c r="B61" s="115" t="s">
        <v>93</v>
      </c>
      <c r="C61" s="85">
        <v>53636.149999999994</v>
      </c>
      <c r="D61" s="125">
        <f>((C16+(C16*-21.5%))/J3)</f>
        <v>456.51717432432434</v>
      </c>
      <c r="E61" s="128">
        <f>L3/D61</f>
        <v>163.66411717561368</v>
      </c>
      <c r="F61" s="128">
        <f>E61/4</f>
        <v>40.916029293903421</v>
      </c>
      <c r="G61" s="94">
        <f>(F61*D61)*4</f>
        <v>74715.480311296284</v>
      </c>
    </row>
    <row r="62" spans="2:7" ht="15.75" x14ac:dyDescent="0.25">
      <c r="B62" s="115" t="s">
        <v>77</v>
      </c>
      <c r="C62" s="85">
        <v>28017.020000000004</v>
      </c>
      <c r="D62" s="125">
        <f>((C17+(C17*-62%))/J4)</f>
        <v>189.90626666666671</v>
      </c>
      <c r="E62" s="128">
        <f>L4/D62</f>
        <v>175.43967693568052</v>
      </c>
      <c r="F62" s="128">
        <f>E62/5</f>
        <v>35.087935387136106</v>
      </c>
      <c r="G62" s="94">
        <f>(F62*D62)*5</f>
        <v>33317.094072061205</v>
      </c>
    </row>
    <row r="63" spans="2:7" ht="15.75" x14ac:dyDescent="0.25">
      <c r="B63" s="115" t="s">
        <v>78</v>
      </c>
      <c r="C63" s="85">
        <v>17372.7</v>
      </c>
      <c r="D63" s="125" t="e">
        <f>((#REF!+(#REF!*-35.4%))/#REF!)</f>
        <v>#REF!</v>
      </c>
      <c r="E63" s="128" t="e">
        <f>#REF!/D63</f>
        <v>#REF!</v>
      </c>
      <c r="F63" s="128" t="e">
        <f>E63/4</f>
        <v>#REF!</v>
      </c>
      <c r="G63" s="94" t="e">
        <f t="shared" ref="G63" si="9">(F63*D63)*4</f>
        <v>#REF!</v>
      </c>
    </row>
    <row r="64" spans="2:7" ht="15.75" x14ac:dyDescent="0.25">
      <c r="B64" s="115" t="s">
        <v>94</v>
      </c>
      <c r="C64" s="85">
        <v>57359.55999999999</v>
      </c>
      <c r="D64" s="125">
        <f>((C18+(C18*-41.5%))/J5)</f>
        <v>273.96827448979593</v>
      </c>
      <c r="E64" s="128">
        <f>L5/D64</f>
        <v>360.9303667140191</v>
      </c>
      <c r="F64" s="128">
        <f>E64/5</f>
        <v>72.186073342803823</v>
      </c>
      <c r="G64" s="94">
        <f>(F64*D64)*5</f>
        <v>98883.469779609091</v>
      </c>
    </row>
    <row r="65" spans="2:7" ht="15.75" x14ac:dyDescent="0.25">
      <c r="B65" s="115" t="s">
        <v>95</v>
      </c>
      <c r="C65" s="85">
        <v>67611.089999999982</v>
      </c>
      <c r="D65" s="125">
        <f>((C19+(C19*-31.8%))/J6)</f>
        <v>446.74484593749997</v>
      </c>
      <c r="E65" s="128">
        <f>L6/D65</f>
        <v>190.32904402615227</v>
      </c>
      <c r="F65" s="128">
        <f>E65/5</f>
        <v>38.065808805230454</v>
      </c>
      <c r="G65" s="94">
        <f>(F65*D65)*5</f>
        <v>85028.519450895037</v>
      </c>
    </row>
    <row r="66" spans="2:7" ht="15.75" x14ac:dyDescent="0.25">
      <c r="B66" s="115" t="s">
        <v>82</v>
      </c>
      <c r="C66" s="85">
        <v>56968.500000000007</v>
      </c>
      <c r="D66" s="125">
        <f>((C20+(C20*-51.4%))/J7)</f>
        <v>374.57163529411758</v>
      </c>
      <c r="E66" s="128">
        <f>L7/D66</f>
        <v>245.10561231765922</v>
      </c>
      <c r="F66" s="128">
        <f>E66/5</f>
        <v>49.021122463531846</v>
      </c>
      <c r="G66" s="94">
        <f>(F66*D66)*5</f>
        <v>91809.610025591624</v>
      </c>
    </row>
    <row r="67" spans="2:7" x14ac:dyDescent="0.25">
      <c r="C67" s="81">
        <f>SUM(C60:C66)</f>
        <v>291767.82999999996</v>
      </c>
      <c r="E67" s="129" t="e">
        <f>SUM(E60:E66)</f>
        <v>#REF!</v>
      </c>
      <c r="F67" s="129" t="e">
        <f>SUM(F60:F66)</f>
        <v>#REF!</v>
      </c>
      <c r="G67" s="101" t="e">
        <f>SUM(G60:G66)</f>
        <v>#REF!</v>
      </c>
    </row>
  </sheetData>
  <mergeCells count="7">
    <mergeCell ref="B58:G58"/>
    <mergeCell ref="B5:C5"/>
    <mergeCell ref="B12:C12"/>
    <mergeCell ref="B14:G14"/>
    <mergeCell ref="B23:G23"/>
    <mergeCell ref="B34:G34"/>
    <mergeCell ref="B46:G46"/>
  </mergeCells>
  <pageMargins left="0.51181102362204722" right="0.51181102362204722" top="0.78740157480314965" bottom="0.78740157480314965" header="0.31496062992125984" footer="0.31496062992125984"/>
  <pageSetup paperSize="9" scale="46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69"/>
  <sheetViews>
    <sheetView zoomScale="85" zoomScaleNormal="85" workbookViewId="0">
      <selection activeCell="F17" sqref="F17"/>
    </sheetView>
  </sheetViews>
  <sheetFormatPr defaultRowHeight="15" x14ac:dyDescent="0.25"/>
  <cols>
    <col min="1" max="1" width="3.42578125" customWidth="1"/>
    <col min="2" max="2" width="31.5703125" bestFit="1" customWidth="1"/>
    <col min="3" max="3" width="14.28515625" style="82" bestFit="1" customWidth="1"/>
    <col min="4" max="4" width="16" style="82" bestFit="1" customWidth="1"/>
    <col min="5" max="6" width="6.140625" customWidth="1"/>
    <col min="7" max="7" width="26" bestFit="1" customWidth="1"/>
    <col min="8" max="8" width="14.28515625" style="82" bestFit="1" customWidth="1"/>
    <col min="9" max="9" width="13.28515625" bestFit="1" customWidth="1"/>
    <col min="10" max="10" width="8.42578125" bestFit="1" customWidth="1"/>
    <col min="11" max="13" width="14.28515625" bestFit="1" customWidth="1"/>
    <col min="14" max="14" width="14.85546875" customWidth="1"/>
    <col min="15" max="15" width="4.5703125" bestFit="1" customWidth="1"/>
  </cols>
  <sheetData>
    <row r="1" spans="2:16" x14ac:dyDescent="0.25">
      <c r="C1" s="83" t="s">
        <v>88</v>
      </c>
      <c r="D1" s="83" t="s">
        <v>89</v>
      </c>
    </row>
    <row r="2" spans="2:16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6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6859.1647075601368</v>
      </c>
      <c r="L3" s="94">
        <f>H3+I3+K3</f>
        <v>17167.288161326374</v>
      </c>
      <c r="M3" s="138">
        <v>10802.81</v>
      </c>
      <c r="N3" s="139">
        <f>(M3-(M3*O3))-L3</f>
        <v>-6510.563161326374</v>
      </c>
      <c r="O3" s="134">
        <v>1.3522870438339654E-2</v>
      </c>
    </row>
    <row r="4" spans="2:16" ht="15.75" x14ac:dyDescent="0.25">
      <c r="B4" s="42" t="s">
        <v>91</v>
      </c>
      <c r="C4" s="109"/>
      <c r="D4" s="109">
        <f>Planilha3!E81+Planilha3!E82-L18</f>
        <v>93929.49579999999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9" si="0">J4*$D$6</f>
        <v>25445.288431271474</v>
      </c>
      <c r="L4" s="94">
        <f t="shared" ref="L4:L9" si="1">H4+I4+K4</f>
        <v>60326.640264022521</v>
      </c>
      <c r="M4" s="138">
        <v>53636.149999999994</v>
      </c>
      <c r="N4" s="139">
        <f t="shared" ref="N4:N9" si="2">(M4-(M4*O4))-L4</f>
        <v>-10186.690264022523</v>
      </c>
      <c r="O4" s="134">
        <v>6.5183649460298712E-2</v>
      </c>
    </row>
    <row r="5" spans="2:16" ht="15.75" x14ac:dyDescent="0.25">
      <c r="B5" s="210" t="s">
        <v>198</v>
      </c>
      <c r="C5" s="210"/>
      <c r="D5" s="81">
        <f>SUM(D2:D4)</f>
        <v>128775.28579999998</v>
      </c>
      <c r="G5" s="115" t="s">
        <v>77</v>
      </c>
      <c r="H5" s="85">
        <v>22912.669533333334</v>
      </c>
      <c r="I5" s="92">
        <v>5390.2161999999998</v>
      </c>
      <c r="J5" s="130">
        <v>43</v>
      </c>
      <c r="K5" s="92">
        <f t="shared" si="0"/>
        <v>9514.3252395188993</v>
      </c>
      <c r="L5" s="94">
        <f t="shared" si="1"/>
        <v>37817.210972852234</v>
      </c>
      <c r="M5" s="138">
        <v>28017.020000000004</v>
      </c>
      <c r="N5" s="139">
        <f t="shared" si="2"/>
        <v>-14264.192639518897</v>
      </c>
      <c r="O5" s="134">
        <v>0.15933177999182874</v>
      </c>
    </row>
    <row r="6" spans="2:16" ht="15.75" x14ac:dyDescent="0.25">
      <c r="B6" s="5" t="s">
        <v>204</v>
      </c>
      <c r="C6" s="110" t="s">
        <v>289</v>
      </c>
      <c r="D6" s="111">
        <f>D5/C6</f>
        <v>221.26337766323022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8629.2717288659787</v>
      </c>
      <c r="L6" s="94">
        <f t="shared" si="1"/>
        <v>42455.251138860884</v>
      </c>
      <c r="M6" s="138">
        <v>17372.7</v>
      </c>
      <c r="N6" s="139">
        <f t="shared" si="2"/>
        <v>-27931.659472194217</v>
      </c>
      <c r="O6" s="134">
        <v>0.16399916727586</v>
      </c>
    </row>
    <row r="7" spans="2:16" ht="15.75" x14ac:dyDescent="0.25">
      <c r="G7" s="115" t="s">
        <v>94</v>
      </c>
      <c r="H7" s="85">
        <v>47869.319882429336</v>
      </c>
      <c r="I7" s="92">
        <v>3764.1331</v>
      </c>
      <c r="J7" s="130">
        <v>135</v>
      </c>
      <c r="K7" s="92">
        <f t="shared" si="0"/>
        <v>29870.55598453608</v>
      </c>
      <c r="L7" s="94">
        <f t="shared" si="1"/>
        <v>81504.008966965412</v>
      </c>
      <c r="M7" s="138">
        <v>57359.55999999999</v>
      </c>
      <c r="N7" s="139">
        <f t="shared" si="2"/>
        <v>-34751.508966965412</v>
      </c>
      <c r="O7" s="134">
        <v>0.18492226927821614</v>
      </c>
    </row>
    <row r="8" spans="2:16" ht="15.75" x14ac:dyDescent="0.25">
      <c r="B8" s="106" t="s">
        <v>270</v>
      </c>
      <c r="C8" s="107"/>
      <c r="D8" s="107">
        <f>I10</f>
        <v>24404.660400000001</v>
      </c>
      <c r="G8" s="115" t="s">
        <v>95</v>
      </c>
      <c r="H8" s="85">
        <v>35000.290214117646</v>
      </c>
      <c r="I8" s="92">
        <v>3764.1331</v>
      </c>
      <c r="J8" s="130">
        <v>122</v>
      </c>
      <c r="K8" s="92">
        <f t="shared" si="0"/>
        <v>26994.132074914087</v>
      </c>
      <c r="L8" s="94">
        <f t="shared" si="1"/>
        <v>65758.555389031739</v>
      </c>
      <c r="M8" s="138">
        <v>67611.089999999982</v>
      </c>
      <c r="N8" s="139">
        <f t="shared" si="2"/>
        <v>-6796.5387223650905</v>
      </c>
      <c r="O8" s="134">
        <v>0.12792388546514094</v>
      </c>
    </row>
    <row r="9" spans="2:16" ht="15.75" x14ac:dyDescent="0.25">
      <c r="B9" s="42" t="s">
        <v>271</v>
      </c>
      <c r="C9" s="109"/>
      <c r="D9" s="109">
        <f>H10</f>
        <v>215892.98778174599</v>
      </c>
      <c r="G9" s="115" t="s">
        <v>82</v>
      </c>
      <c r="H9" s="85">
        <f>47187.1892553535-10000</f>
        <v>37187.1892553535</v>
      </c>
      <c r="I9" s="92">
        <v>5394.2421999999997</v>
      </c>
      <c r="J9" s="130">
        <v>97</v>
      </c>
      <c r="K9" s="92">
        <f t="shared" si="0"/>
        <v>21462.547633333332</v>
      </c>
      <c r="L9" s="94">
        <f t="shared" si="1"/>
        <v>64043.979088686829</v>
      </c>
      <c r="M9" s="138">
        <v>56968.500000000007</v>
      </c>
      <c r="N9" s="139">
        <f t="shared" si="2"/>
        <v>-15828.809088686823</v>
      </c>
      <c r="O9" s="134">
        <v>0.15365210598839707</v>
      </c>
    </row>
    <row r="10" spans="2:16" ht="15.75" x14ac:dyDescent="0.25">
      <c r="D10" s="81">
        <f>SUM(D8:D9)</f>
        <v>240297.64818174599</v>
      </c>
      <c r="G10" s="97"/>
      <c r="H10" s="81">
        <f t="shared" ref="H10:N10" si="3">SUM(H3:H9)</f>
        <v>215892.98778174599</v>
      </c>
      <c r="I10" s="81">
        <f t="shared" si="3"/>
        <v>24404.660400000001</v>
      </c>
      <c r="J10" s="131">
        <f t="shared" si="3"/>
        <v>582</v>
      </c>
      <c r="K10" s="81">
        <f t="shared" si="3"/>
        <v>128775.28579999998</v>
      </c>
      <c r="L10" s="81">
        <f t="shared" si="3"/>
        <v>369072.93398174603</v>
      </c>
      <c r="M10" s="81">
        <f t="shared" si="3"/>
        <v>291767.82999999996</v>
      </c>
      <c r="N10" s="140">
        <f t="shared" si="3"/>
        <v>-116269.96231507935</v>
      </c>
    </row>
    <row r="11" spans="2:16" ht="15.75" x14ac:dyDescent="0.25">
      <c r="G11" s="97"/>
      <c r="H11" s="117"/>
      <c r="I11" s="116"/>
      <c r="J11" s="116"/>
      <c r="K11" s="116"/>
      <c r="L11" s="116"/>
      <c r="M11" s="116"/>
      <c r="N11" s="116"/>
      <c r="O11" s="116"/>
      <c r="P11" s="116"/>
    </row>
    <row r="12" spans="2:16" ht="15.75" x14ac:dyDescent="0.25">
      <c r="B12" s="211" t="s">
        <v>272</v>
      </c>
      <c r="C12" s="211"/>
      <c r="D12" s="112">
        <f>D10+D5</f>
        <v>369072.93398174597</v>
      </c>
      <c r="G12" s="97"/>
      <c r="H12" s="122"/>
      <c r="I12" s="116"/>
      <c r="J12" s="124"/>
      <c r="K12" s="123"/>
      <c r="L12" s="118"/>
      <c r="M12" s="116"/>
      <c r="N12" s="116"/>
      <c r="O12" s="116"/>
      <c r="P12" s="116"/>
    </row>
    <row r="13" spans="2:16" x14ac:dyDescent="0.25">
      <c r="H13" s="132"/>
      <c r="I13" s="117"/>
      <c r="J13" s="119"/>
      <c r="K13" s="119"/>
      <c r="L13" s="121"/>
      <c r="M13" s="116"/>
      <c r="N13" s="116"/>
      <c r="O13" s="116"/>
      <c r="P13" s="116"/>
    </row>
    <row r="14" spans="2:16" s="116" customFormat="1" x14ac:dyDescent="0.25">
      <c r="B14" s="208" t="s">
        <v>283</v>
      </c>
      <c r="C14" s="208"/>
      <c r="D14" s="208"/>
      <c r="E14" s="208"/>
      <c r="F14" s="208"/>
      <c r="G14" s="208"/>
      <c r="H14" s="132"/>
      <c r="I14" s="117"/>
      <c r="J14" s="119"/>
      <c r="K14" s="119"/>
      <c r="L14" s="121"/>
    </row>
    <row r="15" spans="2:16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32"/>
      <c r="I15" s="117"/>
      <c r="J15" s="137"/>
      <c r="K15" s="117" t="s">
        <v>80</v>
      </c>
      <c r="L15" s="119">
        <f>(1762.4+1591.57)+((1762.4+1591.57)*22%)</f>
        <v>4091.8434000000002</v>
      </c>
    </row>
    <row r="16" spans="2:16" s="116" customFormat="1" ht="15.75" x14ac:dyDescent="0.25">
      <c r="B16" s="115" t="s">
        <v>92</v>
      </c>
      <c r="C16" s="85">
        <v>10802.81</v>
      </c>
      <c r="D16" s="125">
        <f t="shared" ref="D16:D22" si="4">((C16+(C16*-15%))/J3)</f>
        <v>296.20608064516125</v>
      </c>
      <c r="E16" s="128">
        <f>L3/D16</f>
        <v>57.957244240005494</v>
      </c>
      <c r="F16" s="128">
        <f>E16/1</f>
        <v>57.957244240005494</v>
      </c>
      <c r="G16" s="94">
        <f>E16*D16</f>
        <v>17167.288161326374</v>
      </c>
      <c r="H16" s="132"/>
      <c r="I16" s="117"/>
      <c r="J16" s="136"/>
      <c r="K16" s="117" t="s">
        <v>295</v>
      </c>
      <c r="L16" s="119">
        <f>1604.77+(1604.77*22%)</f>
        <v>1957.8193999999999</v>
      </c>
    </row>
    <row r="17" spans="2:16" s="116" customFormat="1" ht="15.75" x14ac:dyDescent="0.25">
      <c r="B17" s="115" t="s">
        <v>93</v>
      </c>
      <c r="C17" s="85">
        <v>53636.149999999994</v>
      </c>
      <c r="D17" s="125">
        <f t="shared" si="4"/>
        <v>396.44110869565213</v>
      </c>
      <c r="E17" s="128">
        <f t="shared" ref="E17:E22" si="5">L4/D17</f>
        <v>152.17049630020909</v>
      </c>
      <c r="F17" s="128">
        <f>E17/4</f>
        <v>38.042624075052274</v>
      </c>
      <c r="G17" s="94">
        <f t="shared" ref="G17:G22" si="6">E17*D17</f>
        <v>60326.640264022528</v>
      </c>
      <c r="H17" s="132"/>
      <c r="I17" s="117"/>
      <c r="J17" s="119"/>
      <c r="K17" s="117" t="s">
        <v>296</v>
      </c>
      <c r="L17" s="136">
        <f>1601.47+(1601.47*22%)</f>
        <v>1953.7934</v>
      </c>
    </row>
    <row r="18" spans="2:16" s="116" customFormat="1" ht="15.75" x14ac:dyDescent="0.25">
      <c r="B18" s="115" t="s">
        <v>77</v>
      </c>
      <c r="C18" s="85">
        <v>28017.020000000004</v>
      </c>
      <c r="D18" s="125">
        <f t="shared" si="4"/>
        <v>553.8248139534885</v>
      </c>
      <c r="E18" s="128">
        <f t="shared" si="5"/>
        <v>68.283706363558153</v>
      </c>
      <c r="F18" s="128">
        <f>E18/5</f>
        <v>13.656741272711631</v>
      </c>
      <c r="G18" s="94">
        <f t="shared" si="6"/>
        <v>37817.210972852234</v>
      </c>
      <c r="H18" s="132"/>
      <c r="I18" s="117"/>
      <c r="J18" s="119"/>
      <c r="K18" s="117"/>
      <c r="L18" s="122">
        <f>SUM(L15:L17)</f>
        <v>8003.4562000000005</v>
      </c>
    </row>
    <row r="19" spans="2:16" s="116" customFormat="1" ht="15.75" x14ac:dyDescent="0.25">
      <c r="B19" s="115" t="s">
        <v>78</v>
      </c>
      <c r="C19" s="85">
        <v>17372.7</v>
      </c>
      <c r="D19" s="125">
        <f t="shared" si="4"/>
        <v>378.63576923076926</v>
      </c>
      <c r="E19" s="128">
        <f t="shared" si="5"/>
        <v>112.12688971544431</v>
      </c>
      <c r="F19" s="128">
        <f>E19/4</f>
        <v>28.031722428861077</v>
      </c>
      <c r="G19" s="94">
        <f t="shared" si="6"/>
        <v>42455.251138860884</v>
      </c>
      <c r="H19" s="132"/>
      <c r="I19" s="117"/>
      <c r="J19" s="119"/>
      <c r="K19" s="119"/>
      <c r="L19" s="121"/>
    </row>
    <row r="20" spans="2:16" s="116" customFormat="1" ht="15.75" x14ac:dyDescent="0.25">
      <c r="B20" s="115" t="s">
        <v>94</v>
      </c>
      <c r="C20" s="85">
        <v>57359.55999999999</v>
      </c>
      <c r="D20" s="125">
        <f t="shared" si="4"/>
        <v>361.15278518518511</v>
      </c>
      <c r="E20" s="128">
        <f t="shared" si="5"/>
        <v>225.67736512172633</v>
      </c>
      <c r="F20" s="128">
        <f>E20/5</f>
        <v>45.135473024345266</v>
      </c>
      <c r="G20" s="94">
        <f t="shared" si="6"/>
        <v>81504.008966965412</v>
      </c>
      <c r="H20" s="122"/>
      <c r="I20" s="122"/>
      <c r="J20" s="119"/>
      <c r="K20" s="122"/>
      <c r="L20" s="122"/>
    </row>
    <row r="21" spans="2:16" s="116" customFormat="1" ht="15.75" x14ac:dyDescent="0.25">
      <c r="B21" s="115" t="s">
        <v>95</v>
      </c>
      <c r="C21" s="85">
        <v>67611.089999999982</v>
      </c>
      <c r="D21" s="125">
        <f t="shared" si="4"/>
        <v>471.06087295081954</v>
      </c>
      <c r="E21" s="128">
        <f t="shared" si="5"/>
        <v>139.59672552956266</v>
      </c>
      <c r="F21" s="128">
        <f>E21/5</f>
        <v>27.919345105912534</v>
      </c>
      <c r="G21" s="94">
        <f t="shared" si="6"/>
        <v>65758.555389031739</v>
      </c>
      <c r="H21" s="122"/>
      <c r="I21" s="122"/>
      <c r="J21" s="119"/>
      <c r="K21" s="122"/>
      <c r="L21" s="122"/>
    </row>
    <row r="22" spans="2:16" s="116" customFormat="1" ht="15.75" x14ac:dyDescent="0.25">
      <c r="B22" s="115" t="s">
        <v>82</v>
      </c>
      <c r="C22" s="85">
        <v>56968.500000000007</v>
      </c>
      <c r="D22" s="125">
        <f t="shared" si="4"/>
        <v>499.20850515463923</v>
      </c>
      <c r="E22" s="128">
        <f t="shared" si="5"/>
        <v>128.2910415735966</v>
      </c>
      <c r="F22" s="128">
        <f>E22/5</f>
        <v>25.658208314719321</v>
      </c>
      <c r="G22" s="94">
        <f t="shared" si="6"/>
        <v>64043.979088686836</v>
      </c>
      <c r="H22" s="117"/>
    </row>
    <row r="23" spans="2:16" s="116" customFormat="1" x14ac:dyDescent="0.25">
      <c r="B23"/>
      <c r="C23" s="81">
        <f>SUM(C16:C22)</f>
        <v>291767.82999999996</v>
      </c>
      <c r="D23" s="117"/>
      <c r="E23" s="129">
        <f>SUM(E16:E22)</f>
        <v>884.10346884410274</v>
      </c>
      <c r="F23" s="129">
        <f>SUM(F16:F22)</f>
        <v>236.4013584616076</v>
      </c>
      <c r="G23" s="101">
        <f>SUM(G16:G22)</f>
        <v>369072.93398174603</v>
      </c>
      <c r="H23" s="82"/>
      <c r="I23"/>
      <c r="J23"/>
      <c r="K23"/>
      <c r="L23"/>
      <c r="M23"/>
      <c r="N23"/>
      <c r="O23"/>
      <c r="P23"/>
    </row>
    <row r="24" spans="2:16" s="116" customFormat="1" x14ac:dyDescent="0.25">
      <c r="B24"/>
      <c r="C24" s="81"/>
      <c r="D24" s="117"/>
      <c r="E24" s="117"/>
      <c r="F24" s="117"/>
      <c r="G24" s="101"/>
      <c r="H24" s="82"/>
      <c r="I24"/>
      <c r="J24"/>
      <c r="K24"/>
      <c r="L24"/>
      <c r="M24"/>
      <c r="N24"/>
      <c r="O24"/>
      <c r="P24"/>
    </row>
    <row r="25" spans="2:16" s="116" customFormat="1" x14ac:dyDescent="0.25">
      <c r="B25" s="208" t="s">
        <v>284</v>
      </c>
      <c r="C25" s="208"/>
      <c r="D25" s="208"/>
      <c r="E25" s="208"/>
      <c r="F25" s="208"/>
      <c r="G25" s="208"/>
      <c r="H25" s="82"/>
      <c r="I25"/>
      <c r="J25"/>
      <c r="K25"/>
      <c r="L25"/>
      <c r="M25"/>
      <c r="N25"/>
      <c r="O25"/>
      <c r="P25"/>
    </row>
    <row r="26" spans="2:16" x14ac:dyDescent="0.25">
      <c r="B26" s="114" t="s">
        <v>275</v>
      </c>
      <c r="C26" s="114" t="s">
        <v>280</v>
      </c>
      <c r="D26" s="126" t="s">
        <v>277</v>
      </c>
      <c r="E26" s="114" t="s">
        <v>281</v>
      </c>
      <c r="F26" s="127" t="s">
        <v>278</v>
      </c>
      <c r="G26" s="114" t="s">
        <v>198</v>
      </c>
    </row>
    <row r="27" spans="2:16" ht="15.75" x14ac:dyDescent="0.25">
      <c r="B27" s="115" t="s">
        <v>92</v>
      </c>
      <c r="C27" s="133">
        <v>2</v>
      </c>
      <c r="D27" s="125">
        <f>((C16+(C16*-2.4%)))/J3</f>
        <v>340.11427612903225</v>
      </c>
      <c r="E27" s="141">
        <v>1.3522870438339654E-2</v>
      </c>
      <c r="F27" s="128">
        <f>L3/D27</f>
        <v>50.47505902049658</v>
      </c>
      <c r="G27" s="94">
        <f>F27*D27</f>
        <v>17167.288161326374</v>
      </c>
    </row>
    <row r="28" spans="2:16" ht="15.75" x14ac:dyDescent="0.25">
      <c r="B28" s="115" t="s">
        <v>93</v>
      </c>
      <c r="C28" s="133">
        <v>10</v>
      </c>
      <c r="D28" s="125">
        <f>((C17+(C17*-7.5%))/J4)</f>
        <v>431.42120652173907</v>
      </c>
      <c r="E28" s="141">
        <v>6.5183649460298712E-2</v>
      </c>
      <c r="F28" s="128">
        <f>(L4/D28)/4</f>
        <v>34.958086987885871</v>
      </c>
      <c r="G28" s="94">
        <f>(F28*D28)*4</f>
        <v>60326.640264022521</v>
      </c>
    </row>
    <row r="29" spans="2:16" ht="15.75" x14ac:dyDescent="0.25">
      <c r="B29" s="115" t="s">
        <v>77</v>
      </c>
      <c r="C29" s="133">
        <v>12</v>
      </c>
      <c r="D29" s="125">
        <f>((C18+(C18*-16.9%))/J5)</f>
        <v>541.44520046511639</v>
      </c>
      <c r="E29" s="141">
        <v>0.15933177999182874</v>
      </c>
      <c r="F29" s="128">
        <f>(L5/D29)/5</f>
        <v>13.968989268116591</v>
      </c>
      <c r="G29" s="94">
        <f>(F29*D29)*5</f>
        <v>37817.210972852234</v>
      </c>
    </row>
    <row r="30" spans="2:16" ht="15.75" x14ac:dyDescent="0.25">
      <c r="B30" s="115" t="s">
        <v>78</v>
      </c>
      <c r="C30" s="133">
        <v>7</v>
      </c>
      <c r="D30" s="125">
        <f>((C19+(C19*-17.4%))/J6)</f>
        <v>367.94487692307695</v>
      </c>
      <c r="E30" s="141">
        <v>0.16399916727586</v>
      </c>
      <c r="F30" s="128">
        <f>(L6/D30)/4</f>
        <v>28.846203467956311</v>
      </c>
      <c r="G30" s="94">
        <f t="shared" ref="G30" si="7">(F30*D30)*4</f>
        <v>42455.251138860884</v>
      </c>
    </row>
    <row r="31" spans="2:16" ht="15.75" x14ac:dyDescent="0.25">
      <c r="B31" s="115" t="s">
        <v>94</v>
      </c>
      <c r="C31" s="133">
        <v>38</v>
      </c>
      <c r="D31" s="125">
        <f>((C20+(C20*-19.5%))/J7)</f>
        <v>342.0329318518518</v>
      </c>
      <c r="E31" s="141">
        <v>0.18492226927821614</v>
      </c>
      <c r="F31" s="128">
        <f>(L7/D31)/5</f>
        <v>47.658574000861456</v>
      </c>
      <c r="G31" s="94">
        <f>(F31*D31)*5</f>
        <v>81504.008966965412</v>
      </c>
    </row>
    <row r="32" spans="2:16" ht="15.75" x14ac:dyDescent="0.25">
      <c r="B32" s="115" t="s">
        <v>95</v>
      </c>
      <c r="C32" s="133">
        <v>17</v>
      </c>
      <c r="D32" s="125">
        <f>((C21+(C21*-13.8%))/J8)</f>
        <v>477.71114409836053</v>
      </c>
      <c r="E32" s="141">
        <v>0.12792388546514094</v>
      </c>
      <c r="F32" s="128">
        <f>(L8/D32)/5</f>
        <v>27.530676728568039</v>
      </c>
      <c r="G32" s="94">
        <f>(F32*D32)*5</f>
        <v>65758.555389031739</v>
      </c>
    </row>
    <row r="33" spans="2:8" ht="15.75" x14ac:dyDescent="0.25">
      <c r="B33" s="115" t="s">
        <v>82</v>
      </c>
      <c r="C33" s="133">
        <v>17</v>
      </c>
      <c r="D33" s="125">
        <f>((C22+(C22*-16.4%))/J9)</f>
        <v>490.98624742268044</v>
      </c>
      <c r="E33" s="141">
        <v>0.15365210598839707</v>
      </c>
      <c r="F33" s="128">
        <f>(L9/D33)/5</f>
        <v>26.087891229080647</v>
      </c>
      <c r="G33" s="94">
        <f>(F33*D33)*5</f>
        <v>64043.979088686829</v>
      </c>
    </row>
    <row r="34" spans="2:8" x14ac:dyDescent="0.25">
      <c r="F34" s="129">
        <f>SUM(F26:F33)</f>
        <v>229.52548070296547</v>
      </c>
      <c r="G34" s="101">
        <f>SUM(G27:G33)</f>
        <v>369072.93398174603</v>
      </c>
      <c r="H34"/>
    </row>
    <row r="35" spans="2:8" x14ac:dyDescent="0.25">
      <c r="G35" s="101"/>
      <c r="H35"/>
    </row>
    <row r="36" spans="2:8" x14ac:dyDescent="0.25">
      <c r="B36" s="208" t="s">
        <v>285</v>
      </c>
      <c r="C36" s="208"/>
      <c r="D36" s="208"/>
      <c r="E36" s="208"/>
      <c r="F36" s="208"/>
      <c r="G36" s="208"/>
      <c r="H36"/>
    </row>
    <row r="37" spans="2:8" x14ac:dyDescent="0.25">
      <c r="B37" s="114" t="s">
        <v>275</v>
      </c>
      <c r="C37" s="114" t="s">
        <v>282</v>
      </c>
      <c r="D37" s="126" t="s">
        <v>277</v>
      </c>
      <c r="E37" s="127" t="s">
        <v>278</v>
      </c>
      <c r="F37" s="127" t="s">
        <v>278</v>
      </c>
      <c r="G37" s="114" t="s">
        <v>198</v>
      </c>
      <c r="H37"/>
    </row>
    <row r="38" spans="2:8" ht="15.75" x14ac:dyDescent="0.25">
      <c r="B38" s="115" t="s">
        <v>92</v>
      </c>
      <c r="C38" s="135">
        <v>0.17</v>
      </c>
      <c r="D38" s="125">
        <f>((C16+(C16*-18%))/J3)</f>
        <v>285.75174838709671</v>
      </c>
      <c r="E38" s="128">
        <f t="shared" ref="E38:E44" si="8">L3/D38</f>
        <v>60.077631224395944</v>
      </c>
      <c r="F38" s="128">
        <f>E38/2</f>
        <v>30.038815612197972</v>
      </c>
      <c r="G38" s="94">
        <f>E38*D38</f>
        <v>17167.288161326374</v>
      </c>
      <c r="H38"/>
    </row>
    <row r="39" spans="2:8" ht="15.75" x14ac:dyDescent="0.25">
      <c r="B39" s="115" t="s">
        <v>93</v>
      </c>
      <c r="C39" s="135">
        <v>0.15</v>
      </c>
      <c r="D39" s="125">
        <f>((C17+(C17*-16%))/J4)</f>
        <v>391.77709565217384</v>
      </c>
      <c r="E39" s="128">
        <f t="shared" si="8"/>
        <v>153.98204982759253</v>
      </c>
      <c r="F39" s="128">
        <f>E39/4</f>
        <v>38.495512456898133</v>
      </c>
      <c r="G39" s="94">
        <f>(F39*D39)*4</f>
        <v>60326.640264022521</v>
      </c>
      <c r="H39"/>
    </row>
    <row r="40" spans="2:8" ht="15.75" x14ac:dyDescent="0.25">
      <c r="B40" s="115" t="s">
        <v>77</v>
      </c>
      <c r="C40" s="135">
        <v>0.46</v>
      </c>
      <c r="D40" s="125">
        <f>((C18+(C18*-47%))/J5)</f>
        <v>345.32606046511637</v>
      </c>
      <c r="E40" s="128">
        <f t="shared" si="8"/>
        <v>109.51160454532911</v>
      </c>
      <c r="F40" s="128">
        <f>E40/5</f>
        <v>21.902320909065821</v>
      </c>
      <c r="G40" s="94">
        <f>(F40*D40)*5</f>
        <v>37817.210972852234</v>
      </c>
      <c r="H40"/>
    </row>
    <row r="41" spans="2:8" ht="15.75" x14ac:dyDescent="0.25">
      <c r="B41" s="115" t="s">
        <v>78</v>
      </c>
      <c r="C41" s="135">
        <v>0.19</v>
      </c>
      <c r="D41" s="125">
        <f>((C19+(C19*-20%))/J6)</f>
        <v>356.3630769230769</v>
      </c>
      <c r="E41" s="128">
        <f t="shared" si="8"/>
        <v>119.13482032265959</v>
      </c>
      <c r="F41" s="128">
        <f>E41/4</f>
        <v>29.783705080664898</v>
      </c>
      <c r="G41" s="94">
        <f t="shared" ref="G41" si="9">(F41*D41)*4</f>
        <v>42455.251138860884</v>
      </c>
      <c r="H41"/>
    </row>
    <row r="42" spans="2:8" ht="15.75" x14ac:dyDescent="0.25">
      <c r="B42" s="115" t="s">
        <v>94</v>
      </c>
      <c r="C42" s="135">
        <v>0.23</v>
      </c>
      <c r="D42" s="125">
        <f>((C20+(C20*-24%))/J7)</f>
        <v>322.91307851851843</v>
      </c>
      <c r="E42" s="128">
        <f t="shared" si="8"/>
        <v>252.40231625456235</v>
      </c>
      <c r="F42" s="128">
        <f>E42/5</f>
        <v>50.480463250912472</v>
      </c>
      <c r="G42" s="94">
        <f>(F42*D42)*5</f>
        <v>81504.008966965412</v>
      </c>
      <c r="H42"/>
    </row>
    <row r="43" spans="2:8" ht="15.75" x14ac:dyDescent="0.25">
      <c r="B43" s="115" t="s">
        <v>95</v>
      </c>
      <c r="C43" s="135">
        <v>0.19</v>
      </c>
      <c r="D43" s="125">
        <f>((C21+(C21*-20%))/J8)</f>
        <v>443.3514098360655</v>
      </c>
      <c r="E43" s="128">
        <f t="shared" si="8"/>
        <v>148.3215208751603</v>
      </c>
      <c r="F43" s="128">
        <f>E43/5</f>
        <v>29.664304175032061</v>
      </c>
      <c r="G43" s="94">
        <f>(F43*D43)*5</f>
        <v>65758.555389031739</v>
      </c>
    </row>
    <row r="44" spans="2:8" ht="15.75" x14ac:dyDescent="0.25">
      <c r="B44" s="115" t="s">
        <v>82</v>
      </c>
      <c r="C44" s="135">
        <v>0.1</v>
      </c>
      <c r="D44" s="125">
        <f>((C22+(C22*-11%))/J9)</f>
        <v>522.70067010309288</v>
      </c>
      <c r="E44" s="128">
        <f t="shared" si="8"/>
        <v>122.52515206467089</v>
      </c>
      <c r="F44" s="128">
        <f>E44/5</f>
        <v>24.505030412934179</v>
      </c>
      <c r="G44" s="94">
        <f>(F44*D44)*5</f>
        <v>64043.979088686829</v>
      </c>
    </row>
    <row r="45" spans="2:8" x14ac:dyDescent="0.25">
      <c r="E45" s="129">
        <f>SUM(E38:E44)</f>
        <v>965.95509511437081</v>
      </c>
      <c r="F45" s="129">
        <f>SUM(F38:F44)</f>
        <v>224.87015189770557</v>
      </c>
      <c r="G45" s="101">
        <f>SUM(G38:G44)</f>
        <v>369072.93398174603</v>
      </c>
    </row>
    <row r="48" spans="2:8" x14ac:dyDescent="0.25">
      <c r="B48" s="208" t="s">
        <v>286</v>
      </c>
      <c r="C48" s="208"/>
      <c r="D48" s="208"/>
      <c r="E48" s="208"/>
      <c r="F48" s="208"/>
      <c r="G48" s="208"/>
    </row>
    <row r="49" spans="2:9" x14ac:dyDescent="0.25">
      <c r="B49" s="114" t="s">
        <v>275</v>
      </c>
      <c r="C49" s="114" t="s">
        <v>276</v>
      </c>
      <c r="D49" s="126" t="s">
        <v>277</v>
      </c>
      <c r="E49" s="127" t="s">
        <v>278</v>
      </c>
      <c r="F49" s="127" t="s">
        <v>278</v>
      </c>
      <c r="G49" s="114" t="s">
        <v>198</v>
      </c>
    </row>
    <row r="50" spans="2:9" ht="15.75" x14ac:dyDescent="0.25">
      <c r="B50" s="115" t="s">
        <v>92</v>
      </c>
      <c r="C50" s="85">
        <v>10802.81</v>
      </c>
      <c r="D50" s="125">
        <f>((C16+(C16*-32%))/J3)</f>
        <v>236.96486451612901</v>
      </c>
      <c r="E50" s="128">
        <f t="shared" ref="E50:E56" si="10">L3/D50</f>
        <v>72.446555300006864</v>
      </c>
      <c r="F50" s="128">
        <f>E50/1</f>
        <v>72.446555300006864</v>
      </c>
      <c r="G50" s="94">
        <f>E50*D50</f>
        <v>17167.288161326374</v>
      </c>
    </row>
    <row r="51" spans="2:9" ht="15.75" x14ac:dyDescent="0.25">
      <c r="B51" s="115" t="s">
        <v>93</v>
      </c>
      <c r="C51" s="85">
        <v>53636.149999999994</v>
      </c>
      <c r="D51" s="125">
        <f>((C17+(C17*-30%))/J4)</f>
        <v>326.48091304347821</v>
      </c>
      <c r="E51" s="128">
        <f t="shared" si="10"/>
        <v>184.77845979311104</v>
      </c>
      <c r="F51" s="128">
        <f>E51/4</f>
        <v>46.19461494827776</v>
      </c>
      <c r="G51" s="94">
        <f>(F51*D51)*4</f>
        <v>60326.640264022521</v>
      </c>
    </row>
    <row r="52" spans="2:9" ht="15.75" x14ac:dyDescent="0.25">
      <c r="B52" s="115" t="s">
        <v>77</v>
      </c>
      <c r="C52" s="85">
        <v>28017.020000000004</v>
      </c>
      <c r="D52" s="125">
        <f>((C18+(C18*-61%))/J5)</f>
        <v>254.10785581395351</v>
      </c>
      <c r="E52" s="128">
        <f t="shared" si="10"/>
        <v>148.82346258724215</v>
      </c>
      <c r="F52" s="128">
        <f>E52/5</f>
        <v>29.764692517448431</v>
      </c>
      <c r="G52" s="94">
        <f>(F52*D52)*5</f>
        <v>37817.210972852234</v>
      </c>
    </row>
    <row r="53" spans="2:9" ht="15.75" x14ac:dyDescent="0.25">
      <c r="B53" s="115" t="s">
        <v>78</v>
      </c>
      <c r="C53" s="85">
        <v>17372.7</v>
      </c>
      <c r="D53" s="125">
        <f>((C19+(C19*-34%))/J6)</f>
        <v>293.99953846153846</v>
      </c>
      <c r="E53" s="128">
        <f t="shared" si="10"/>
        <v>144.40584281534495</v>
      </c>
      <c r="F53" s="128">
        <f>E53/4</f>
        <v>36.101460703836239</v>
      </c>
      <c r="G53" s="94">
        <f t="shared" ref="G53" si="11">(F53*D53)*4</f>
        <v>42455.251138860884</v>
      </c>
    </row>
    <row r="54" spans="2:9" ht="15.75" x14ac:dyDescent="0.25">
      <c r="B54" s="115" t="s">
        <v>94</v>
      </c>
      <c r="C54" s="85">
        <v>57359.55999999999</v>
      </c>
      <c r="D54" s="125">
        <f>((C20+(C20*-38%))/J7)</f>
        <v>263.42909037037032</v>
      </c>
      <c r="E54" s="128">
        <f t="shared" si="10"/>
        <v>309.39638766688284</v>
      </c>
      <c r="F54" s="128">
        <f>E54/5</f>
        <v>61.879277533376566</v>
      </c>
      <c r="G54" s="94">
        <f>(F54*D54)*5</f>
        <v>81504.008966965397</v>
      </c>
    </row>
    <row r="55" spans="2:9" ht="15.75" x14ac:dyDescent="0.25">
      <c r="B55" s="115" t="s">
        <v>95</v>
      </c>
      <c r="C55" s="85">
        <v>67611.089999999982</v>
      </c>
      <c r="D55" s="125">
        <f>((C21+(C21*-34%))/J8)</f>
        <v>365.76491311475399</v>
      </c>
      <c r="E55" s="128">
        <f t="shared" si="10"/>
        <v>179.78366166686098</v>
      </c>
      <c r="F55" s="128">
        <f>E55/5</f>
        <v>35.956732333372194</v>
      </c>
      <c r="G55" s="94">
        <f>(F55*D55)*5</f>
        <v>65758.555389031739</v>
      </c>
    </row>
    <row r="56" spans="2:9" ht="15.75" x14ac:dyDescent="0.25">
      <c r="B56" s="115" t="s">
        <v>82</v>
      </c>
      <c r="C56" s="85">
        <v>56968.500000000007</v>
      </c>
      <c r="D56" s="125">
        <f>((C22+(C22*-51%))/J9)</f>
        <v>287.77902061855673</v>
      </c>
      <c r="E56" s="128">
        <f t="shared" si="10"/>
        <v>222.54568436236144</v>
      </c>
      <c r="F56" s="128">
        <f>E56/5</f>
        <v>44.50913687247229</v>
      </c>
      <c r="G56" s="94">
        <f>(F56*D56)*5</f>
        <v>64043.979088686829</v>
      </c>
    </row>
    <row r="57" spans="2:9" x14ac:dyDescent="0.25">
      <c r="C57" s="81">
        <f>SUM(C50:C56)</f>
        <v>291767.82999999996</v>
      </c>
      <c r="E57" s="129">
        <f>SUM(E50:E56)</f>
        <v>1262.1800541918103</v>
      </c>
      <c r="F57" s="129">
        <f>SUM(F50:F56)</f>
        <v>326.85247020879035</v>
      </c>
      <c r="G57" s="101">
        <f>SUM(G50:G56)</f>
        <v>369072.93398174597</v>
      </c>
    </row>
    <row r="59" spans="2:9" x14ac:dyDescent="0.25">
      <c r="I59" s="142"/>
    </row>
    <row r="60" spans="2:9" x14ac:dyDescent="0.25">
      <c r="B60" s="208" t="s">
        <v>287</v>
      </c>
      <c r="C60" s="208"/>
      <c r="D60" s="208"/>
      <c r="E60" s="208"/>
      <c r="F60" s="208"/>
      <c r="G60" s="208"/>
      <c r="I60" s="142"/>
    </row>
    <row r="61" spans="2:9" x14ac:dyDescent="0.25">
      <c r="B61" s="114" t="s">
        <v>275</v>
      </c>
      <c r="C61" s="114" t="s">
        <v>276</v>
      </c>
      <c r="D61" s="126" t="s">
        <v>277</v>
      </c>
      <c r="E61" s="127" t="s">
        <v>278</v>
      </c>
      <c r="F61" s="127" t="s">
        <v>278</v>
      </c>
      <c r="G61" s="114" t="s">
        <v>198</v>
      </c>
      <c r="I61" s="142"/>
    </row>
    <row r="62" spans="2:9" ht="15.75" x14ac:dyDescent="0.25">
      <c r="B62" s="115" t="s">
        <v>92</v>
      </c>
      <c r="C62" s="85">
        <v>10802.81</v>
      </c>
      <c r="D62" s="125">
        <f>((C16+(C16*-19.4%))/J3)</f>
        <v>280.87306000000001</v>
      </c>
      <c r="E62" s="128">
        <f t="shared" ref="E62:E68" si="12">L3/D62</f>
        <v>61.121163280402804</v>
      </c>
      <c r="F62" s="128">
        <f>E62/1</f>
        <v>61.121163280402804</v>
      </c>
      <c r="G62" s="94">
        <f>E62*D62</f>
        <v>17167.288161326374</v>
      </c>
      <c r="I62" s="142"/>
    </row>
    <row r="63" spans="2:9" ht="15.75" x14ac:dyDescent="0.25">
      <c r="B63" s="115" t="s">
        <v>93</v>
      </c>
      <c r="C63" s="85">
        <v>53636.149999999994</v>
      </c>
      <c r="D63" s="125">
        <f>((C17+(C17*-21.5%))/J4)</f>
        <v>366.12502391304349</v>
      </c>
      <c r="E63" s="128">
        <f t="shared" si="12"/>
        <v>164.77060108939835</v>
      </c>
      <c r="F63" s="128">
        <f>E63/4</f>
        <v>41.192650272349589</v>
      </c>
      <c r="G63" s="94">
        <f>(F63*D63)*4</f>
        <v>60326.640264022521</v>
      </c>
      <c r="I63" s="142"/>
    </row>
    <row r="64" spans="2:9" ht="15.75" x14ac:dyDescent="0.25">
      <c r="B64" s="115" t="s">
        <v>77</v>
      </c>
      <c r="C64" s="85">
        <v>28017.020000000004</v>
      </c>
      <c r="D64" s="125">
        <f>((C18+(C18*-62%))/J5)</f>
        <v>247.59226976744185</v>
      </c>
      <c r="E64" s="128">
        <f t="shared" si="12"/>
        <v>152.73986949743275</v>
      </c>
      <c r="F64" s="128">
        <f>E64/5</f>
        <v>30.54797389948655</v>
      </c>
      <c r="G64" s="94">
        <f>(F64*D64)*5</f>
        <v>37817.210972852234</v>
      </c>
      <c r="I64" s="142"/>
    </row>
    <row r="65" spans="2:9" ht="15.75" x14ac:dyDescent="0.25">
      <c r="B65" s="115" t="s">
        <v>78</v>
      </c>
      <c r="C65" s="85">
        <v>17372.7</v>
      </c>
      <c r="D65" s="125">
        <f>((C19+(C19*-35.4%))/J6)</f>
        <v>287.76318461538466</v>
      </c>
      <c r="E65" s="128">
        <f t="shared" si="12"/>
        <v>147.53538120453197</v>
      </c>
      <c r="F65" s="128">
        <f>E65/4</f>
        <v>36.883845301132993</v>
      </c>
      <c r="G65" s="94">
        <f t="shared" ref="G65" si="13">(F65*D65)*4</f>
        <v>42455.251138860884</v>
      </c>
      <c r="I65" s="142"/>
    </row>
    <row r="66" spans="2:9" ht="15.75" x14ac:dyDescent="0.25">
      <c r="B66" s="115" t="s">
        <v>94</v>
      </c>
      <c r="C66" s="85">
        <v>57359.55999999999</v>
      </c>
      <c r="D66" s="125">
        <f>((C20+(C20*-41.5%))/J7)</f>
        <v>248.55809333333332</v>
      </c>
      <c r="E66" s="128">
        <f t="shared" si="12"/>
        <v>327.90728265549973</v>
      </c>
      <c r="F66" s="128">
        <f>E66/5</f>
        <v>65.581456531099946</v>
      </c>
      <c r="G66" s="94">
        <f>(F66*D66)*5</f>
        <v>81504.008966965412</v>
      </c>
    </row>
    <row r="67" spans="2:9" ht="15.75" x14ac:dyDescent="0.25">
      <c r="B67" s="115" t="s">
        <v>95</v>
      </c>
      <c r="C67" s="85">
        <v>67611.089999999982</v>
      </c>
      <c r="D67" s="125">
        <f>((C21+(C21*-31.8%))/J8)</f>
        <v>377.95707688524584</v>
      </c>
      <c r="E67" s="128">
        <f t="shared" si="12"/>
        <v>173.98418870986546</v>
      </c>
      <c r="F67" s="128">
        <f>E67/5</f>
        <v>34.796837741973093</v>
      </c>
      <c r="G67" s="94">
        <f>(F67*D67)*5</f>
        <v>65758.555389031739</v>
      </c>
    </row>
    <row r="68" spans="2:9" ht="15.75" x14ac:dyDescent="0.25">
      <c r="B68" s="115" t="s">
        <v>82</v>
      </c>
      <c r="C68" s="85">
        <v>56968.500000000007</v>
      </c>
      <c r="D68" s="125">
        <f>((C22+(C22*-51.4%))/J9)</f>
        <v>285.42980412371139</v>
      </c>
      <c r="E68" s="128">
        <f t="shared" si="12"/>
        <v>224.37733608550843</v>
      </c>
      <c r="F68" s="128">
        <f>E68/5</f>
        <v>44.875467217101686</v>
      </c>
      <c r="G68" s="94">
        <f>(F68*D68)*5</f>
        <v>64043.979088686829</v>
      </c>
    </row>
    <row r="69" spans="2:9" x14ac:dyDescent="0.25">
      <c r="C69" s="81">
        <f>SUM(C62:C68)</f>
        <v>291767.82999999996</v>
      </c>
      <c r="E69" s="129">
        <f>SUM(E62:E68)</f>
        <v>1252.4358225226397</v>
      </c>
      <c r="F69" s="129">
        <f>SUM(F62:F68)</f>
        <v>314.9993942435467</v>
      </c>
      <c r="G69" s="101">
        <f>SUM(G62:G68)</f>
        <v>369072.93398174603</v>
      </c>
    </row>
  </sheetData>
  <mergeCells count="7">
    <mergeCell ref="B60:G60"/>
    <mergeCell ref="B5:C5"/>
    <mergeCell ref="B12:C12"/>
    <mergeCell ref="B14:G14"/>
    <mergeCell ref="B25:G25"/>
    <mergeCell ref="B36:G36"/>
    <mergeCell ref="B48:G48"/>
  </mergeCells>
  <pageMargins left="0.51181102362204722" right="0.51181102362204722" top="0.78740157480314965" bottom="0.78740157480314965" header="0.31496062992125984" footer="0.31496062992125984"/>
  <pageSetup paperSize="9" scale="67" orientation="landscape" r:id="rId1"/>
  <rowBreaks count="1" manualBreakCount="1">
    <brk id="3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80"/>
  <sheetViews>
    <sheetView topLeftCell="A28" zoomScale="85" zoomScaleNormal="85" workbookViewId="0">
      <selection activeCell="I9" sqref="I9"/>
    </sheetView>
  </sheetViews>
  <sheetFormatPr defaultRowHeight="15" x14ac:dyDescent="0.25"/>
  <cols>
    <col min="1" max="1" width="3.42578125" customWidth="1"/>
    <col min="2" max="2" width="31.5703125" bestFit="1" customWidth="1"/>
    <col min="3" max="3" width="15.140625" style="82" bestFit="1" customWidth="1"/>
    <col min="4" max="4" width="16" style="82" bestFit="1" customWidth="1"/>
    <col min="5" max="5" width="6.42578125" bestFit="1" customWidth="1"/>
    <col min="6" max="6" width="4.28515625" bestFit="1" customWidth="1"/>
    <col min="7" max="7" width="26" bestFit="1" customWidth="1"/>
    <col min="8" max="8" width="15.140625" style="82" bestFit="1" customWidth="1"/>
    <col min="9" max="9" width="13.85546875" bestFit="1" customWidth="1"/>
    <col min="10" max="10" width="8.42578125" bestFit="1" customWidth="1"/>
    <col min="11" max="14" width="15.140625" bestFit="1" customWidth="1"/>
    <col min="15" max="15" width="4.7109375" bestFit="1" customWidth="1"/>
  </cols>
  <sheetData>
    <row r="1" spans="2:15" x14ac:dyDescent="0.25">
      <c r="C1" s="83" t="s">
        <v>88</v>
      </c>
      <c r="D1" s="83" t="s">
        <v>89</v>
      </c>
    </row>
    <row r="2" spans="2:15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5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6664.4970651085132</v>
      </c>
      <c r="L3" s="94">
        <f>H3+I3+K3</f>
        <v>16972.620518874748</v>
      </c>
      <c r="M3" s="138">
        <v>10802.81</v>
      </c>
      <c r="N3" s="139">
        <f>(M3-(M3*O3))-L3</f>
        <v>-6315.8955188747477</v>
      </c>
      <c r="O3" s="134">
        <v>1.3522870438339654E-2</v>
      </c>
    </row>
    <row r="4" spans="2:15" ht="15.75" x14ac:dyDescent="0.25">
      <c r="B4" s="42" t="s">
        <v>91</v>
      </c>
      <c r="C4" s="109"/>
      <c r="D4" s="109">
        <f>Planilha3!E81+Planilha3!E82-8003.46</f>
        <v>93929.491999999984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12" si="0">J4*$D$6</f>
        <v>24723.134273789645</v>
      </c>
      <c r="L4" s="94">
        <f t="shared" ref="L4:L12" si="1">H4+I4+K4</f>
        <v>59604.486106540688</v>
      </c>
      <c r="M4" s="138">
        <v>53636.149999999994</v>
      </c>
      <c r="N4" s="139">
        <f t="shared" ref="N4:N11" si="2">(M4-(M4*O4))-L4</f>
        <v>-9464.5361065406905</v>
      </c>
      <c r="O4" s="134">
        <v>6.5183649460298712E-2</v>
      </c>
    </row>
    <row r="5" spans="2:15" ht="15.75" x14ac:dyDescent="0.25">
      <c r="B5" s="210" t="s">
        <v>198</v>
      </c>
      <c r="C5" s="210"/>
      <c r="D5" s="81">
        <f>SUM(D2:D4)</f>
        <v>128775.28199999998</v>
      </c>
      <c r="G5" s="115" t="s">
        <v>77</v>
      </c>
      <c r="H5" s="85">
        <v>22912.669533333334</v>
      </c>
      <c r="I5" s="92">
        <f>3436.4228+L19</f>
        <v>5390.2161999999998</v>
      </c>
      <c r="J5" s="130">
        <v>43</v>
      </c>
      <c r="K5" s="92">
        <f t="shared" si="0"/>
        <v>9244.3023806343899</v>
      </c>
      <c r="L5" s="94">
        <f t="shared" si="1"/>
        <v>37547.188113967721</v>
      </c>
      <c r="M5" s="138">
        <v>28017.020000000004</v>
      </c>
      <c r="N5" s="139">
        <f t="shared" si="2"/>
        <v>-13994.169780634384</v>
      </c>
      <c r="O5" s="134">
        <v>0.15933177999182874</v>
      </c>
    </row>
    <row r="6" spans="2:15" ht="15.75" x14ac:dyDescent="0.25">
      <c r="B6" s="5" t="s">
        <v>204</v>
      </c>
      <c r="C6" s="110" t="s">
        <v>279</v>
      </c>
      <c r="D6" s="111">
        <f>D5/C6</f>
        <v>214.98377629382301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8384.3672754590971</v>
      </c>
      <c r="L6" s="94">
        <f t="shared" si="1"/>
        <v>42210.346685454002</v>
      </c>
      <c r="M6" s="138">
        <v>17372.7</v>
      </c>
      <c r="N6" s="139">
        <f t="shared" si="2"/>
        <v>-27686.755018787335</v>
      </c>
      <c r="O6" s="134">
        <v>0.16399916727586</v>
      </c>
    </row>
    <row r="7" spans="2:15" ht="15.75" x14ac:dyDescent="0.25">
      <c r="G7" s="115" t="s">
        <v>94</v>
      </c>
      <c r="H7" s="85">
        <v>47869.319882429336</v>
      </c>
      <c r="I7" s="92">
        <f>1718.2114+(L17/2)</f>
        <v>3764.1331</v>
      </c>
      <c r="J7" s="130">
        <v>135</v>
      </c>
      <c r="K7" s="92">
        <f t="shared" si="0"/>
        <v>29022.809799666105</v>
      </c>
      <c r="L7" s="94">
        <f t="shared" si="1"/>
        <v>80656.262782095437</v>
      </c>
      <c r="M7" s="138">
        <v>57359.55999999999</v>
      </c>
      <c r="N7" s="139">
        <f t="shared" si="2"/>
        <v>-33903.762782095437</v>
      </c>
      <c r="O7" s="134">
        <v>0.18492226927821614</v>
      </c>
    </row>
    <row r="8" spans="2:15" ht="15.75" x14ac:dyDescent="0.25">
      <c r="B8" s="106" t="s">
        <v>270</v>
      </c>
      <c r="C8" s="107"/>
      <c r="D8" s="107">
        <f>Planilha3!F81+Planilha3!F82</f>
        <v>26245.7258</v>
      </c>
      <c r="G8" s="115" t="s">
        <v>95</v>
      </c>
      <c r="H8" s="85">
        <v>35000.290214117646</v>
      </c>
      <c r="I8" s="92">
        <f>1718.2114+(L17/2)</f>
        <v>3764.1331</v>
      </c>
      <c r="J8" s="130">
        <v>122</v>
      </c>
      <c r="K8" s="92">
        <f t="shared" si="0"/>
        <v>26228.020707846408</v>
      </c>
      <c r="L8" s="94">
        <f t="shared" si="1"/>
        <v>64992.444021964053</v>
      </c>
      <c r="M8" s="138">
        <v>67611.089999999982</v>
      </c>
      <c r="N8" s="139">
        <f t="shared" si="2"/>
        <v>-6030.4273552974046</v>
      </c>
      <c r="O8" s="134">
        <v>0.12792388546514094</v>
      </c>
    </row>
    <row r="9" spans="2:15" ht="15.75" x14ac:dyDescent="0.25">
      <c r="B9" s="42" t="s">
        <v>271</v>
      </c>
      <c r="C9" s="109"/>
      <c r="D9" s="109">
        <f>Planilha3!D81+Planilha3!D82</f>
        <v>243980.68740000005</v>
      </c>
      <c r="G9" s="115" t="s">
        <v>82</v>
      </c>
      <c r="H9" s="85">
        <f>47187.1892553535</f>
        <v>47187.1892553535</v>
      </c>
      <c r="I9" s="92">
        <f>3436.4228+L18</f>
        <v>5394.2421999999997</v>
      </c>
      <c r="J9" s="130">
        <v>97</v>
      </c>
      <c r="K9" s="92">
        <f t="shared" si="0"/>
        <v>20853.426300500832</v>
      </c>
      <c r="L9" s="94">
        <f t="shared" si="1"/>
        <v>73434.857755854333</v>
      </c>
      <c r="M9" s="138">
        <v>56968.500000000007</v>
      </c>
      <c r="N9" s="139">
        <f t="shared" si="2"/>
        <v>-25219.687755854327</v>
      </c>
      <c r="O9" s="134">
        <v>0.15365210598839707</v>
      </c>
    </row>
    <row r="10" spans="2:15" ht="15.75" x14ac:dyDescent="0.25">
      <c r="D10" s="81">
        <f>SUM(D8:D9)</f>
        <v>270226.41320000007</v>
      </c>
      <c r="G10" s="115" t="s">
        <v>96</v>
      </c>
      <c r="H10" s="85">
        <v>7695.8359111111113</v>
      </c>
      <c r="I10" s="92">
        <v>3436.4227999999998</v>
      </c>
      <c r="J10" s="130">
        <v>4</v>
      </c>
      <c r="K10" s="92">
        <f t="shared" si="0"/>
        <v>859.93510517529205</v>
      </c>
      <c r="L10" s="94">
        <f t="shared" si="1"/>
        <v>11992.193816286404</v>
      </c>
      <c r="M10" s="138">
        <v>841.51</v>
      </c>
      <c r="N10" s="139">
        <f t="shared" si="2"/>
        <v>-11432.583816286404</v>
      </c>
      <c r="O10" s="134">
        <v>0.33499304821095416</v>
      </c>
    </row>
    <row r="11" spans="2:15" ht="15.75" x14ac:dyDescent="0.25">
      <c r="G11" s="115" t="s">
        <v>97</v>
      </c>
      <c r="H11" s="85">
        <v>7992.7633357142849</v>
      </c>
      <c r="I11" s="92">
        <v>3436.4227999999998</v>
      </c>
      <c r="J11" s="130">
        <v>7</v>
      </c>
      <c r="K11" s="92">
        <f t="shared" si="0"/>
        <v>1504.8864340567611</v>
      </c>
      <c r="L11" s="94">
        <f t="shared" si="1"/>
        <v>12934.072569771046</v>
      </c>
      <c r="M11" s="138">
        <v>2284.8900000000003</v>
      </c>
      <c r="N11" s="139">
        <f t="shared" si="2"/>
        <v>-11557.059236437712</v>
      </c>
      <c r="O11" s="134">
        <v>0.39733933216332801</v>
      </c>
    </row>
    <row r="12" spans="2:15" ht="15.75" x14ac:dyDescent="0.25">
      <c r="B12" s="211" t="s">
        <v>272</v>
      </c>
      <c r="C12" s="211"/>
      <c r="D12" s="112">
        <f>D10+D5</f>
        <v>399001.69520000007</v>
      </c>
      <c r="G12" s="115" t="s">
        <v>98</v>
      </c>
      <c r="H12" s="85">
        <v>2399.1003714285716</v>
      </c>
      <c r="I12" s="92">
        <v>2971.6760000000004</v>
      </c>
      <c r="J12" s="130">
        <v>6</v>
      </c>
      <c r="K12" s="92">
        <f t="shared" si="0"/>
        <v>1289.9026577629381</v>
      </c>
      <c r="L12" s="94">
        <f t="shared" si="1"/>
        <v>6660.6790291915104</v>
      </c>
      <c r="M12" s="138">
        <f>6*238</f>
        <v>1428</v>
      </c>
      <c r="N12" s="139">
        <f t="shared" ref="N12" si="3">M12-L12</f>
        <v>-5232.6790291915104</v>
      </c>
    </row>
    <row r="13" spans="2:15" x14ac:dyDescent="0.25">
      <c r="H13" s="81">
        <f t="shared" ref="H13:N13" si="4">SUM(H3:H12)</f>
        <v>243980.68739999997</v>
      </c>
      <c r="I13" s="81">
        <f t="shared" si="4"/>
        <v>34249.182000000001</v>
      </c>
      <c r="J13" s="131">
        <f t="shared" si="4"/>
        <v>599</v>
      </c>
      <c r="K13" s="81">
        <f t="shared" si="4"/>
        <v>128775.28200000001</v>
      </c>
      <c r="L13" s="81">
        <f t="shared" si="4"/>
        <v>407005.15139999992</v>
      </c>
      <c r="M13" s="81">
        <f t="shared" si="4"/>
        <v>296322.23</v>
      </c>
      <c r="N13" s="140">
        <f t="shared" si="4"/>
        <v>-150837.55639999997</v>
      </c>
    </row>
    <row r="14" spans="2:15" s="116" customFormat="1" x14ac:dyDescent="0.25">
      <c r="B14" s="208" t="s">
        <v>283</v>
      </c>
      <c r="C14" s="208"/>
      <c r="D14" s="208"/>
      <c r="E14" s="208"/>
      <c r="F14" s="208"/>
      <c r="G14" s="208"/>
      <c r="H14" s="117"/>
    </row>
    <row r="15" spans="2:15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22"/>
      <c r="J15" s="124"/>
      <c r="K15" s="123"/>
      <c r="L15" s="118"/>
    </row>
    <row r="16" spans="2:15" s="116" customFormat="1" ht="15.75" x14ac:dyDescent="0.25">
      <c r="B16" s="115" t="s">
        <v>92</v>
      </c>
      <c r="C16" s="85">
        <v>10802.81</v>
      </c>
      <c r="D16" s="125">
        <f t="shared" ref="D16:D25" si="5">((C16+(C16*-15%))/J3)</f>
        <v>296.20608064516125</v>
      </c>
      <c r="E16" s="128">
        <f>L3/D16</f>
        <v>57.300040842871901</v>
      </c>
      <c r="F16" s="128">
        <f>E16/1</f>
        <v>57.300040842871901</v>
      </c>
      <c r="G16" s="94">
        <f>E16*D16</f>
        <v>16972.620518874748</v>
      </c>
      <c r="H16" s="132"/>
      <c r="I16" s="117"/>
      <c r="J16" s="119"/>
      <c r="K16" s="119"/>
      <c r="L16" s="121"/>
    </row>
    <row r="17" spans="2:12" s="116" customFormat="1" ht="15.75" x14ac:dyDescent="0.25">
      <c r="B17" s="115" t="s">
        <v>93</v>
      </c>
      <c r="C17" s="85">
        <v>53636.149999999994</v>
      </c>
      <c r="D17" s="125">
        <f t="shared" si="5"/>
        <v>396.44110869565213</v>
      </c>
      <c r="E17" s="128">
        <f t="shared" ref="E17:E25" si="6">L4/D17</f>
        <v>150.34890378207234</v>
      </c>
      <c r="F17" s="128">
        <f>E17/4</f>
        <v>37.587225945518085</v>
      </c>
      <c r="G17" s="94">
        <f t="shared" ref="G17:G25" si="7">E17*D17</f>
        <v>59604.486106540688</v>
      </c>
      <c r="H17" s="132"/>
      <c r="K17" s="117" t="s">
        <v>80</v>
      </c>
      <c r="L17" s="119">
        <f>(1762.4+1591.57)+((1762.4+1591.57)*22%)</f>
        <v>4091.8434000000002</v>
      </c>
    </row>
    <row r="18" spans="2:12" s="116" customFormat="1" ht="15.75" x14ac:dyDescent="0.25">
      <c r="B18" s="115" t="s">
        <v>77</v>
      </c>
      <c r="C18" s="85">
        <v>28017.020000000004</v>
      </c>
      <c r="D18" s="125">
        <f t="shared" si="5"/>
        <v>553.8248139534885</v>
      </c>
      <c r="E18" s="128">
        <f t="shared" si="6"/>
        <v>67.796146304706781</v>
      </c>
      <c r="F18" s="128">
        <f>E18/5</f>
        <v>13.559229260941356</v>
      </c>
      <c r="G18" s="94">
        <f t="shared" si="7"/>
        <v>37547.188113967721</v>
      </c>
      <c r="H18" s="132"/>
      <c r="K18" s="117" t="s">
        <v>295</v>
      </c>
      <c r="L18" s="119">
        <f>1604.77+(1604.77*22%)</f>
        <v>1957.8193999999999</v>
      </c>
    </row>
    <row r="19" spans="2:12" s="116" customFormat="1" ht="15.75" x14ac:dyDescent="0.25">
      <c r="B19" s="115" t="s">
        <v>78</v>
      </c>
      <c r="C19" s="85">
        <v>17372.7</v>
      </c>
      <c r="D19" s="125">
        <f t="shared" si="5"/>
        <v>378.63576923076926</v>
      </c>
      <c r="E19" s="128">
        <f t="shared" si="6"/>
        <v>111.48008222046192</v>
      </c>
      <c r="F19" s="128">
        <f>E19/4</f>
        <v>27.870020555115481</v>
      </c>
      <c r="G19" s="94">
        <f t="shared" si="7"/>
        <v>42210.346685454002</v>
      </c>
      <c r="H19" s="132"/>
      <c r="K19" s="117" t="s">
        <v>296</v>
      </c>
      <c r="L19" s="136">
        <f>1601.47+(1601.47*22%)</f>
        <v>1953.7934</v>
      </c>
    </row>
    <row r="20" spans="2:12" s="116" customFormat="1" ht="15.75" x14ac:dyDescent="0.25">
      <c r="B20" s="115" t="s">
        <v>94</v>
      </c>
      <c r="C20" s="85">
        <v>57359.55999999999</v>
      </c>
      <c r="D20" s="125">
        <f t="shared" si="5"/>
        <v>361.15278518518511</v>
      </c>
      <c r="E20" s="128">
        <f t="shared" si="6"/>
        <v>223.33003119645898</v>
      </c>
      <c r="F20" s="128">
        <f>E20/5</f>
        <v>44.666006239291796</v>
      </c>
      <c r="G20" s="94">
        <f t="shared" si="7"/>
        <v>80656.262782095437</v>
      </c>
      <c r="H20" s="132"/>
      <c r="K20" s="117"/>
      <c r="L20" s="122">
        <f>SUM(L17:L19)</f>
        <v>8003.4562000000005</v>
      </c>
    </row>
    <row r="21" spans="2:12" s="116" customFormat="1" ht="15.75" x14ac:dyDescent="0.25">
      <c r="B21" s="115" t="s">
        <v>95</v>
      </c>
      <c r="C21" s="85">
        <v>67611.089999999982</v>
      </c>
      <c r="D21" s="125">
        <f t="shared" si="5"/>
        <v>471.06087295081954</v>
      </c>
      <c r="E21" s="128">
        <f t="shared" si="6"/>
        <v>137.97037231056441</v>
      </c>
      <c r="F21" s="128">
        <f>E21/5</f>
        <v>27.594074462112882</v>
      </c>
      <c r="G21" s="94">
        <f t="shared" si="7"/>
        <v>64992.444021964053</v>
      </c>
      <c r="H21" s="132"/>
      <c r="I21" s="117"/>
      <c r="J21" s="119"/>
      <c r="K21" s="119"/>
      <c r="L21" s="121"/>
    </row>
    <row r="22" spans="2:12" s="116" customFormat="1" ht="15.75" x14ac:dyDescent="0.25">
      <c r="B22" s="115" t="s">
        <v>82</v>
      </c>
      <c r="C22" s="85">
        <v>56968.500000000007</v>
      </c>
      <c r="D22" s="125">
        <f t="shared" si="5"/>
        <v>499.20850515463923</v>
      </c>
      <c r="E22" s="128">
        <f t="shared" si="6"/>
        <v>147.10257737517213</v>
      </c>
      <c r="F22" s="128">
        <f>E22/5</f>
        <v>29.420515475034428</v>
      </c>
      <c r="G22" s="94">
        <f t="shared" si="7"/>
        <v>73434.857755854333</v>
      </c>
      <c r="H22" s="132"/>
      <c r="I22" s="117"/>
      <c r="J22" s="119"/>
      <c r="K22" s="119"/>
      <c r="L22" s="121"/>
    </row>
    <row r="23" spans="2:12" s="116" customFormat="1" ht="15.75" x14ac:dyDescent="0.25">
      <c r="B23" s="115" t="s">
        <v>96</v>
      </c>
      <c r="C23" s="85">
        <v>841.51</v>
      </c>
      <c r="D23" s="125">
        <f t="shared" si="5"/>
        <v>178.820875</v>
      </c>
      <c r="E23" s="128">
        <f t="shared" si="6"/>
        <v>67.062605617416892</v>
      </c>
      <c r="F23" s="128">
        <f>E23/4</f>
        <v>16.765651404354223</v>
      </c>
      <c r="G23" s="94">
        <f t="shared" si="7"/>
        <v>11992.193816286404</v>
      </c>
      <c r="H23" s="132"/>
      <c r="I23" s="117"/>
      <c r="J23" s="119"/>
      <c r="K23" s="119"/>
      <c r="L23" s="121"/>
    </row>
    <row r="24" spans="2:12" s="116" customFormat="1" ht="15.75" x14ac:dyDescent="0.25">
      <c r="B24" s="115" t="s">
        <v>97</v>
      </c>
      <c r="C24" s="85">
        <v>2284.8900000000003</v>
      </c>
      <c r="D24" s="125">
        <f t="shared" si="5"/>
        <v>277.45092857142862</v>
      </c>
      <c r="E24" s="128">
        <f t="shared" si="6"/>
        <v>46.617514082102709</v>
      </c>
      <c r="F24" s="128">
        <f>E24/4</f>
        <v>11.654378520525677</v>
      </c>
      <c r="G24" s="94">
        <f t="shared" si="7"/>
        <v>12934.072569771046</v>
      </c>
      <c r="H24" s="132"/>
      <c r="I24" s="117"/>
      <c r="J24" s="119"/>
      <c r="K24" s="119"/>
      <c r="L24" s="121"/>
    </row>
    <row r="25" spans="2:12" s="116" customFormat="1" ht="15.75" x14ac:dyDescent="0.25">
      <c r="B25" s="115" t="s">
        <v>98</v>
      </c>
      <c r="C25" s="85">
        <f>6*238</f>
        <v>1428</v>
      </c>
      <c r="D25" s="125">
        <f t="shared" si="5"/>
        <v>202.29999999999998</v>
      </c>
      <c r="E25" s="128">
        <f t="shared" si="6"/>
        <v>32.92476040134212</v>
      </c>
      <c r="F25" s="128">
        <f>E25/2</f>
        <v>16.46238020067106</v>
      </c>
      <c r="G25" s="94">
        <f t="shared" si="7"/>
        <v>6660.6790291915104</v>
      </c>
      <c r="H25" s="132"/>
      <c r="I25" s="117"/>
      <c r="J25" s="119"/>
      <c r="K25" s="119"/>
      <c r="L25" s="121"/>
    </row>
    <row r="26" spans="2:12" s="116" customFormat="1" x14ac:dyDescent="0.25">
      <c r="B26"/>
      <c r="C26" s="81">
        <f>SUM(C16:C25)</f>
        <v>296322.23</v>
      </c>
      <c r="D26" s="117"/>
      <c r="E26" s="129">
        <f>SUM(E16:E25)</f>
        <v>1041.9330341331702</v>
      </c>
      <c r="F26" s="129">
        <f>SUM(F16:F25)</f>
        <v>282.87952290643688</v>
      </c>
      <c r="G26" s="101">
        <f>SUM(G16:G25)</f>
        <v>407005.15139999992</v>
      </c>
      <c r="H26" s="122"/>
      <c r="I26" s="122"/>
      <c r="J26" s="119"/>
      <c r="K26" s="122"/>
      <c r="L26" s="122"/>
    </row>
    <row r="27" spans="2:12" s="116" customFormat="1" x14ac:dyDescent="0.25">
      <c r="B27"/>
      <c r="C27" s="81"/>
      <c r="D27" s="117"/>
      <c r="E27" s="117"/>
      <c r="F27" s="117"/>
      <c r="G27" s="101"/>
      <c r="H27" s="122"/>
      <c r="I27" s="122"/>
      <c r="J27" s="119"/>
      <c r="K27" s="122"/>
      <c r="L27" s="122"/>
    </row>
    <row r="28" spans="2:12" s="116" customFormat="1" x14ac:dyDescent="0.25">
      <c r="B28" s="208" t="s">
        <v>284</v>
      </c>
      <c r="C28" s="208"/>
      <c r="D28" s="208"/>
      <c r="E28" s="208"/>
      <c r="F28" s="208"/>
      <c r="G28" s="208"/>
      <c r="H28" s="117"/>
    </row>
    <row r="29" spans="2:12" x14ac:dyDescent="0.25">
      <c r="B29" s="114" t="s">
        <v>275</v>
      </c>
      <c r="C29" s="114" t="s">
        <v>280</v>
      </c>
      <c r="D29" s="126" t="s">
        <v>277</v>
      </c>
      <c r="E29" s="114" t="s">
        <v>281</v>
      </c>
      <c r="F29" s="127" t="s">
        <v>278</v>
      </c>
      <c r="G29" s="114" t="s">
        <v>198</v>
      </c>
    </row>
    <row r="30" spans="2:12" ht="15.75" x14ac:dyDescent="0.25">
      <c r="B30" s="115" t="s">
        <v>92</v>
      </c>
      <c r="C30" s="133">
        <v>2</v>
      </c>
      <c r="D30" s="125">
        <f>((C16+(C16*-2.4%)))/J3</f>
        <v>340.11427612903225</v>
      </c>
      <c r="E30" s="141">
        <v>1.3522870438339654E-2</v>
      </c>
      <c r="F30" s="128">
        <f>L3/D30</f>
        <v>49.90269950455032</v>
      </c>
      <c r="G30" s="94">
        <f>F30*D30</f>
        <v>16972.620518874748</v>
      </c>
    </row>
    <row r="31" spans="2:12" ht="15.75" x14ac:dyDescent="0.25">
      <c r="B31" s="115" t="s">
        <v>93</v>
      </c>
      <c r="C31" s="133">
        <v>10</v>
      </c>
      <c r="D31" s="125">
        <f>((C17+(C17*-7.5%))/J4)</f>
        <v>431.42120652173907</v>
      </c>
      <c r="E31" s="141">
        <v>6.5183649460298712E-2</v>
      </c>
      <c r="F31" s="128">
        <f>(L4/D31)/4</f>
        <v>34.539613031016621</v>
      </c>
      <c r="G31" s="94">
        <f>(F31*D31)*4</f>
        <v>59604.486106540688</v>
      </c>
    </row>
    <row r="32" spans="2:12" ht="15.75" x14ac:dyDescent="0.25">
      <c r="B32" s="115" t="s">
        <v>77</v>
      </c>
      <c r="C32" s="133">
        <v>12</v>
      </c>
      <c r="D32" s="125">
        <f>((C18+(C18*-16.9%))/J5)</f>
        <v>541.44520046511639</v>
      </c>
      <c r="E32" s="141">
        <v>0.15933177999182874</v>
      </c>
      <c r="F32" s="128">
        <f>(L5/D32)/5</f>
        <v>13.869247739831712</v>
      </c>
      <c r="G32" s="94">
        <f>(F32*D32)*5</f>
        <v>37547.188113967721</v>
      </c>
    </row>
    <row r="33" spans="2:11" ht="15.75" x14ac:dyDescent="0.25">
      <c r="B33" s="115" t="s">
        <v>78</v>
      </c>
      <c r="C33" s="133">
        <v>7</v>
      </c>
      <c r="D33" s="125">
        <f>((C19+(C19*-17.4%))/J6)</f>
        <v>367.94487692307695</v>
      </c>
      <c r="E33" s="141">
        <v>0.16399916727586</v>
      </c>
      <c r="F33" s="128">
        <f>(L6/D33)/4</f>
        <v>28.679803234683</v>
      </c>
      <c r="G33" s="94">
        <f t="shared" ref="G33:G38" si="8">(F33*D33)*4</f>
        <v>42210.346685454002</v>
      </c>
    </row>
    <row r="34" spans="2:11" ht="15.75" x14ac:dyDescent="0.25">
      <c r="B34" s="115" t="s">
        <v>94</v>
      </c>
      <c r="C34" s="133">
        <v>38</v>
      </c>
      <c r="D34" s="125">
        <f>((C20+(C20*-19.5%))/J7)</f>
        <v>342.0329318518518</v>
      </c>
      <c r="E34" s="141">
        <v>0.18492226927821614</v>
      </c>
      <c r="F34" s="128">
        <f>(L7/D34)/5</f>
        <v>47.162863730929224</v>
      </c>
      <c r="G34" s="94">
        <f>(F34*D34)*5</f>
        <v>80656.262782095451</v>
      </c>
    </row>
    <row r="35" spans="2:11" ht="15.75" x14ac:dyDescent="0.25">
      <c r="B35" s="115" t="s">
        <v>95</v>
      </c>
      <c r="C35" s="133">
        <v>17</v>
      </c>
      <c r="D35" s="125">
        <f>((C21+(C21*-13.8%))/J8)</f>
        <v>477.71114409836053</v>
      </c>
      <c r="E35" s="141">
        <v>0.12792388546514094</v>
      </c>
      <c r="F35" s="128">
        <f>(L8/D35)/5</f>
        <v>27.20993421438045</v>
      </c>
      <c r="G35" s="94">
        <f>(F35*D35)*5</f>
        <v>64992.444021964046</v>
      </c>
    </row>
    <row r="36" spans="2:11" ht="15.75" x14ac:dyDescent="0.25">
      <c r="B36" s="115" t="s">
        <v>82</v>
      </c>
      <c r="C36" s="133">
        <v>17</v>
      </c>
      <c r="D36" s="125">
        <f>((C22+(C22*-16.4%))/J9)</f>
        <v>490.98624742268044</v>
      </c>
      <c r="E36" s="141">
        <v>0.15365210598839707</v>
      </c>
      <c r="F36" s="128">
        <f>(L9/D36)/5</f>
        <v>29.913203533228785</v>
      </c>
      <c r="G36" s="94">
        <f>(F36*D36)*5</f>
        <v>73434.857755854333</v>
      </c>
    </row>
    <row r="37" spans="2:11" ht="15.75" x14ac:dyDescent="0.25">
      <c r="B37" s="115" t="s">
        <v>96</v>
      </c>
      <c r="C37" s="133">
        <v>2</v>
      </c>
      <c r="D37" s="125">
        <f>((C23+(C23*-34.5%))/J10)</f>
        <v>137.79726249999999</v>
      </c>
      <c r="E37" s="141">
        <v>0.33499304821095416</v>
      </c>
      <c r="F37" s="128">
        <f>(L10/D37)/4</f>
        <v>21.756952204123802</v>
      </c>
      <c r="G37" s="94">
        <f t="shared" si="8"/>
        <v>11992.193816286404</v>
      </c>
    </row>
    <row r="38" spans="2:11" ht="15.75" x14ac:dyDescent="0.25">
      <c r="B38" s="115" t="s">
        <v>97</v>
      </c>
      <c r="C38" s="133">
        <v>3</v>
      </c>
      <c r="D38" s="125">
        <f>((C24+(C24*-40.7%))/J11)</f>
        <v>193.5628242857143</v>
      </c>
      <c r="E38" s="141">
        <v>0.39733933216332801</v>
      </c>
      <c r="F38" s="128">
        <f>(L11/D38)/4</f>
        <v>16.705264321158221</v>
      </c>
      <c r="G38" s="94">
        <f t="shared" si="8"/>
        <v>12934.072569771044</v>
      </c>
    </row>
    <row r="39" spans="2:11" x14ac:dyDescent="0.25">
      <c r="F39" s="129">
        <f>SUM(F29:F38)</f>
        <v>269.73958151390212</v>
      </c>
      <c r="G39" s="101">
        <f>SUM(G30:G38)</f>
        <v>400344.47237080842</v>
      </c>
    </row>
    <row r="40" spans="2:11" x14ac:dyDescent="0.25">
      <c r="G40" s="101"/>
    </row>
    <row r="41" spans="2:11" x14ac:dyDescent="0.25">
      <c r="B41" s="208" t="s">
        <v>285</v>
      </c>
      <c r="C41" s="208"/>
      <c r="D41" s="208"/>
      <c r="E41" s="208"/>
      <c r="F41" s="208"/>
      <c r="G41" s="208"/>
    </row>
    <row r="42" spans="2:11" x14ac:dyDescent="0.25">
      <c r="B42" s="114" t="s">
        <v>275</v>
      </c>
      <c r="C42" s="114" t="s">
        <v>282</v>
      </c>
      <c r="D42" s="126" t="s">
        <v>277</v>
      </c>
      <c r="E42" s="127" t="s">
        <v>278</v>
      </c>
      <c r="F42" s="127" t="s">
        <v>278</v>
      </c>
      <c r="G42" s="114" t="s">
        <v>198</v>
      </c>
      <c r="H42"/>
    </row>
    <row r="43" spans="2:11" ht="15.75" x14ac:dyDescent="0.25">
      <c r="B43" s="150" t="s">
        <v>92</v>
      </c>
      <c r="C43" s="144">
        <v>0.17</v>
      </c>
      <c r="D43" s="148">
        <f>((C16+(C16*-18%))/J3)</f>
        <v>285.75174838709671</v>
      </c>
      <c r="E43" s="149">
        <f t="shared" ref="E43:E51" si="9">L3/D43</f>
        <v>59.396383800537954</v>
      </c>
      <c r="F43" s="149">
        <f>E43/1</f>
        <v>59.396383800537954</v>
      </c>
      <c r="G43" s="94">
        <f>E43*D43</f>
        <v>16972.620518874748</v>
      </c>
      <c r="H43" s="145"/>
      <c r="I43" s="146"/>
      <c r="J43" s="146"/>
      <c r="K43" s="146"/>
    </row>
    <row r="44" spans="2:11" ht="15.75" x14ac:dyDescent="0.25">
      <c r="B44" s="150" t="s">
        <v>93</v>
      </c>
      <c r="C44" s="144">
        <v>0.15</v>
      </c>
      <c r="D44" s="148">
        <f>((C17+(C17*-16%))/J4)</f>
        <v>391.77709565217384</v>
      </c>
      <c r="E44" s="149">
        <f t="shared" si="9"/>
        <v>152.13877168423988</v>
      </c>
      <c r="F44" s="149">
        <f>E44/4</f>
        <v>38.034692921059971</v>
      </c>
      <c r="G44" s="94">
        <f>(F44*D44)*4</f>
        <v>59604.486106540688</v>
      </c>
      <c r="H44" s="145"/>
      <c r="I44" s="146"/>
      <c r="J44" s="146"/>
      <c r="K44" s="146"/>
    </row>
    <row r="45" spans="2:11" ht="15.75" x14ac:dyDescent="0.25">
      <c r="B45" s="150" t="s">
        <v>77</v>
      </c>
      <c r="C45" s="144">
        <v>0.46</v>
      </c>
      <c r="D45" s="148">
        <f>((C18+(C18*-47%))/J5)</f>
        <v>345.32606046511637</v>
      </c>
      <c r="E45" s="149">
        <f t="shared" si="9"/>
        <v>108.72966860188824</v>
      </c>
      <c r="F45" s="149">
        <f>E45/5</f>
        <v>21.745933720377646</v>
      </c>
      <c r="G45" s="94">
        <f>(F45*D45)*5</f>
        <v>37547.188113967721</v>
      </c>
      <c r="H45" s="145"/>
      <c r="I45" s="146"/>
      <c r="J45" s="146"/>
      <c r="K45" s="146"/>
    </row>
    <row r="46" spans="2:11" ht="15.75" x14ac:dyDescent="0.25">
      <c r="B46" s="150" t="s">
        <v>78</v>
      </c>
      <c r="C46" s="144">
        <v>0.19</v>
      </c>
      <c r="D46" s="148">
        <f>((C19+(C19*-20%))/J6)</f>
        <v>356.3630769230769</v>
      </c>
      <c r="E46" s="149">
        <f t="shared" si="9"/>
        <v>118.4475873592408</v>
      </c>
      <c r="F46" s="149">
        <f>E46/4</f>
        <v>29.6118968398102</v>
      </c>
      <c r="G46" s="94">
        <f t="shared" ref="G46:G51" si="10">(F46*D46)*4</f>
        <v>42210.346685454002</v>
      </c>
      <c r="H46"/>
    </row>
    <row r="47" spans="2:11" ht="15.75" x14ac:dyDescent="0.25">
      <c r="B47" s="150" t="s">
        <v>94</v>
      </c>
      <c r="C47" s="144">
        <v>0.23</v>
      </c>
      <c r="D47" s="148">
        <f>((C20+(C20*-24%))/J7)</f>
        <v>322.91307851851843</v>
      </c>
      <c r="E47" s="149">
        <f t="shared" si="9"/>
        <v>249.77700857498704</v>
      </c>
      <c r="F47" s="149">
        <f>E47/5</f>
        <v>49.955401714997407</v>
      </c>
      <c r="G47" s="94">
        <f>(F47*D47)*5</f>
        <v>80656.262782095437</v>
      </c>
      <c r="H47" s="145"/>
      <c r="I47" s="146"/>
      <c r="J47" s="146"/>
      <c r="K47" s="146"/>
    </row>
    <row r="48" spans="2:11" ht="15.75" x14ac:dyDescent="0.25">
      <c r="B48" s="150" t="s">
        <v>95</v>
      </c>
      <c r="C48" s="144">
        <v>0.19</v>
      </c>
      <c r="D48" s="148">
        <f>((C21+(C21*-20%))/J8)</f>
        <v>443.3514098360655</v>
      </c>
      <c r="E48" s="149">
        <f t="shared" si="9"/>
        <v>146.59352057997467</v>
      </c>
      <c r="F48" s="149">
        <f>E48/5</f>
        <v>29.318704115994933</v>
      </c>
      <c r="G48" s="94">
        <f>(F48*D48)*5</f>
        <v>64992.444021964046</v>
      </c>
      <c r="H48" s="145"/>
      <c r="I48" s="146"/>
      <c r="J48" s="146"/>
      <c r="K48" s="146"/>
    </row>
    <row r="49" spans="2:11" ht="15.75" x14ac:dyDescent="0.25">
      <c r="B49" s="150" t="s">
        <v>82</v>
      </c>
      <c r="C49" s="135">
        <v>0.36</v>
      </c>
      <c r="D49" s="85">
        <f>((C22+(C22*-37%))/J9)</f>
        <v>370.00159793814441</v>
      </c>
      <c r="E49" s="151">
        <f t="shared" si="9"/>
        <v>198.47173137920046</v>
      </c>
      <c r="F49" s="151">
        <f>E49/5</f>
        <v>39.69434627584009</v>
      </c>
      <c r="G49" s="94">
        <f>(F49*D49)*5</f>
        <v>73434.857755854333</v>
      </c>
      <c r="H49" s="145"/>
      <c r="I49" s="146"/>
      <c r="J49" s="146"/>
      <c r="K49" s="146"/>
    </row>
    <row r="50" spans="2:11" ht="15.75" x14ac:dyDescent="0.25">
      <c r="B50" s="150" t="s">
        <v>96</v>
      </c>
      <c r="C50" s="144">
        <v>0.28999999999999998</v>
      </c>
      <c r="D50" s="148">
        <f>((C23+(C23*-30%))/J10)</f>
        <v>147.26425</v>
      </c>
      <c r="E50" s="149">
        <f t="shared" si="9"/>
        <v>81.433163964006226</v>
      </c>
      <c r="F50" s="149">
        <f>E50/4</f>
        <v>20.358290991001557</v>
      </c>
      <c r="G50" s="94">
        <f t="shared" si="10"/>
        <v>11992.193816286404</v>
      </c>
      <c r="H50"/>
    </row>
    <row r="51" spans="2:11" ht="15.75" x14ac:dyDescent="0.25">
      <c r="B51" s="150" t="s">
        <v>97</v>
      </c>
      <c r="C51" s="144">
        <v>0.6</v>
      </c>
      <c r="D51" s="148">
        <f>((C24+(C24*-61%))/J11)</f>
        <v>127.30101428571432</v>
      </c>
      <c r="E51" s="149">
        <f t="shared" si="9"/>
        <v>101.6022742815059</v>
      </c>
      <c r="F51" s="149">
        <f>E51/4</f>
        <v>25.400568570376475</v>
      </c>
      <c r="G51" s="94">
        <f t="shared" si="10"/>
        <v>12934.072569771046</v>
      </c>
      <c r="H51"/>
    </row>
    <row r="52" spans="2:11" x14ac:dyDescent="0.25">
      <c r="E52" s="129">
        <f>SUM(E43:E51)</f>
        <v>1216.5901102255814</v>
      </c>
      <c r="F52" s="129">
        <f>SUM(F43:F51)</f>
        <v>313.5162189499963</v>
      </c>
      <c r="G52" s="101">
        <f>SUM(G43:G51)</f>
        <v>400344.47237080842</v>
      </c>
      <c r="H52"/>
    </row>
    <row r="55" spans="2:11" x14ac:dyDescent="0.25">
      <c r="B55" s="208" t="s">
        <v>286</v>
      </c>
      <c r="C55" s="208"/>
      <c r="D55" s="208"/>
      <c r="E55" s="208"/>
      <c r="F55" s="208"/>
      <c r="G55" s="208"/>
    </row>
    <row r="56" spans="2:11" x14ac:dyDescent="0.25">
      <c r="B56" s="114" t="s">
        <v>275</v>
      </c>
      <c r="C56" s="114" t="s">
        <v>276</v>
      </c>
      <c r="D56" s="126" t="s">
        <v>277</v>
      </c>
      <c r="E56" s="127" t="s">
        <v>278</v>
      </c>
      <c r="F56" s="127" t="s">
        <v>278</v>
      </c>
      <c r="G56" s="114" t="s">
        <v>198</v>
      </c>
    </row>
    <row r="57" spans="2:11" ht="15.75" x14ac:dyDescent="0.25">
      <c r="B57" s="115" t="s">
        <v>92</v>
      </c>
      <c r="C57" s="85">
        <v>10802.81</v>
      </c>
      <c r="D57" s="125">
        <f>((C16+(C16*-32%))/J3)</f>
        <v>236.96486451612901</v>
      </c>
      <c r="E57" s="128">
        <f>L3/D57</f>
        <v>71.625051053589871</v>
      </c>
      <c r="F57" s="128">
        <f>E57/1</f>
        <v>71.625051053589871</v>
      </c>
      <c r="G57" s="94">
        <f>E57*D57</f>
        <v>16972.620518874748</v>
      </c>
    </row>
    <row r="58" spans="2:11" ht="15.75" x14ac:dyDescent="0.25">
      <c r="B58" s="115" t="s">
        <v>93</v>
      </c>
      <c r="C58" s="85">
        <v>53636.149999999994</v>
      </c>
      <c r="D58" s="125">
        <f>((C17+(C17*-30%))/J4)</f>
        <v>326.48091304347821</v>
      </c>
      <c r="E58" s="128">
        <f t="shared" ref="E58:E65" si="11">L4/D58</f>
        <v>182.56652602108787</v>
      </c>
      <c r="F58" s="128">
        <f>E58/4</f>
        <v>45.641631505271967</v>
      </c>
      <c r="G58" s="94">
        <f>(F58*D58)*4</f>
        <v>59604.486106540688</v>
      </c>
    </row>
    <row r="59" spans="2:11" ht="15.75" x14ac:dyDescent="0.25">
      <c r="B59" s="115" t="s">
        <v>77</v>
      </c>
      <c r="C59" s="85">
        <v>28017.020000000004</v>
      </c>
      <c r="D59" s="125">
        <f>((C18+(C18*-61%))/J5)</f>
        <v>254.10785581395351</v>
      </c>
      <c r="E59" s="128">
        <f t="shared" si="11"/>
        <v>147.76083168974557</v>
      </c>
      <c r="F59" s="128">
        <f>E59/5</f>
        <v>29.552166337949114</v>
      </c>
      <c r="G59" s="94">
        <f>(F59*D59)*5</f>
        <v>37547.188113967721</v>
      </c>
    </row>
    <row r="60" spans="2:11" ht="15.75" x14ac:dyDescent="0.25">
      <c r="B60" s="115" t="s">
        <v>78</v>
      </c>
      <c r="C60" s="85">
        <v>17372.7</v>
      </c>
      <c r="D60" s="125">
        <f>((C19+(C19*-34%))/J6)</f>
        <v>293.99953846153846</v>
      </c>
      <c r="E60" s="128">
        <f t="shared" si="11"/>
        <v>143.57283316271611</v>
      </c>
      <c r="F60" s="128">
        <f>E60/4</f>
        <v>35.893208290679027</v>
      </c>
      <c r="G60" s="94">
        <f t="shared" ref="G60" si="12">(F60*D60)*4</f>
        <v>42210.346685454002</v>
      </c>
    </row>
    <row r="61" spans="2:11" ht="15.75" x14ac:dyDescent="0.25">
      <c r="B61" s="115" t="s">
        <v>94</v>
      </c>
      <c r="C61" s="85">
        <v>57359.55999999999</v>
      </c>
      <c r="D61" s="125">
        <f>((C20+(C20*-38%))/J7)</f>
        <v>263.42909037037032</v>
      </c>
      <c r="E61" s="128">
        <f t="shared" si="11"/>
        <v>306.17826857579053</v>
      </c>
      <c r="F61" s="128">
        <f>E61/5</f>
        <v>61.235653715158108</v>
      </c>
      <c r="G61" s="94">
        <f>(F61*D61)*5</f>
        <v>80656.262782095437</v>
      </c>
    </row>
    <row r="62" spans="2:11" ht="15.75" x14ac:dyDescent="0.25">
      <c r="B62" s="115" t="s">
        <v>95</v>
      </c>
      <c r="C62" s="85">
        <v>67611.089999999982</v>
      </c>
      <c r="D62" s="125">
        <f>((C21+(C21*-34%))/J8)</f>
        <v>365.76491311475399</v>
      </c>
      <c r="E62" s="128">
        <f t="shared" si="11"/>
        <v>177.68911585451477</v>
      </c>
      <c r="F62" s="128">
        <f>E62/5</f>
        <v>35.537823170902954</v>
      </c>
      <c r="G62" s="94">
        <f>(F62*D62)*5</f>
        <v>64992.444021964046</v>
      </c>
    </row>
    <row r="63" spans="2:11" ht="15.75" x14ac:dyDescent="0.25">
      <c r="B63" s="115" t="s">
        <v>82</v>
      </c>
      <c r="C63" s="85">
        <v>56968.500000000007</v>
      </c>
      <c r="D63" s="125">
        <f>((C22+(C22*-51%))/J9)</f>
        <v>287.77902061855673</v>
      </c>
      <c r="E63" s="128">
        <f t="shared" si="11"/>
        <v>255.17794034468636</v>
      </c>
      <c r="F63" s="128">
        <f>E63/5</f>
        <v>51.035588068937273</v>
      </c>
      <c r="G63" s="94">
        <f>(F63*D63)*5</f>
        <v>73434.857755854333</v>
      </c>
    </row>
    <row r="64" spans="2:11" ht="15.75" x14ac:dyDescent="0.25">
      <c r="B64" s="115" t="s">
        <v>96</v>
      </c>
      <c r="C64" s="85">
        <v>841.51</v>
      </c>
      <c r="D64" s="125">
        <f>((C23+(C23*-45%))/J10)</f>
        <v>115.70762499999999</v>
      </c>
      <c r="E64" s="128">
        <f t="shared" si="11"/>
        <v>103.64220868146248</v>
      </c>
      <c r="F64" s="128">
        <f>E64/4</f>
        <v>25.910552170365619</v>
      </c>
      <c r="G64" s="94">
        <f t="shared" ref="G64:G65" si="13">(F64*D64)*4</f>
        <v>11992.193816286404</v>
      </c>
    </row>
    <row r="65" spans="2:9" ht="15.75" x14ac:dyDescent="0.25">
      <c r="B65" s="115" t="s">
        <v>97</v>
      </c>
      <c r="C65" s="85">
        <v>2284.8900000000003</v>
      </c>
      <c r="D65" s="125">
        <f>((C24+(C24*-75%))/J11)</f>
        <v>81.603214285714301</v>
      </c>
      <c r="E65" s="128">
        <f t="shared" si="11"/>
        <v>158.49954787914919</v>
      </c>
      <c r="F65" s="128">
        <f>E65/4</f>
        <v>39.624886969787298</v>
      </c>
      <c r="G65" s="94">
        <f t="shared" si="13"/>
        <v>12934.072569771046</v>
      </c>
    </row>
    <row r="66" spans="2:9" x14ac:dyDescent="0.25">
      <c r="C66" s="81">
        <f>SUM(C57:C65)</f>
        <v>294894.23</v>
      </c>
      <c r="E66" s="129">
        <f>SUM(E57:E65)</f>
        <v>1546.7123232627428</v>
      </c>
      <c r="F66" s="129">
        <f>SUM(F57:F65)</f>
        <v>396.05656128264116</v>
      </c>
      <c r="G66" s="101">
        <f>SUM(G57:G65)</f>
        <v>400344.47237080842</v>
      </c>
    </row>
    <row r="69" spans="2:9" x14ac:dyDescent="0.25">
      <c r="B69" s="208" t="s">
        <v>287</v>
      </c>
      <c r="C69" s="208"/>
      <c r="D69" s="208"/>
      <c r="E69" s="208"/>
      <c r="F69" s="208"/>
      <c r="G69" s="208"/>
    </row>
    <row r="70" spans="2:9" x14ac:dyDescent="0.25">
      <c r="B70" s="114" t="s">
        <v>275</v>
      </c>
      <c r="C70" s="114" t="s">
        <v>276</v>
      </c>
      <c r="D70" s="126" t="s">
        <v>277</v>
      </c>
      <c r="E70" s="127" t="s">
        <v>278</v>
      </c>
      <c r="F70" s="127" t="s">
        <v>278</v>
      </c>
      <c r="G70" s="114" t="s">
        <v>198</v>
      </c>
    </row>
    <row r="71" spans="2:9" ht="15.75" x14ac:dyDescent="0.25">
      <c r="B71" s="115" t="s">
        <v>92</v>
      </c>
      <c r="C71" s="85">
        <v>10802.81</v>
      </c>
      <c r="D71" s="125">
        <f>((C16+(C16*-19.4%))/J3)</f>
        <v>280.87306000000001</v>
      </c>
      <c r="E71" s="128">
        <f>L3/D71</f>
        <v>60.42808277474083</v>
      </c>
      <c r="F71" s="128">
        <f>E71/1</f>
        <v>60.42808277474083</v>
      </c>
      <c r="G71" s="94">
        <f>E71*D71</f>
        <v>16972.620518874748</v>
      </c>
      <c r="I71" s="142"/>
    </row>
    <row r="72" spans="2:9" ht="15.75" x14ac:dyDescent="0.25">
      <c r="B72" s="115" t="s">
        <v>93</v>
      </c>
      <c r="C72" s="85">
        <v>53636.149999999994</v>
      </c>
      <c r="D72" s="125">
        <f>((C17+(C17*-21.5%))/J4)</f>
        <v>366.12502391304349</v>
      </c>
      <c r="E72" s="128">
        <f t="shared" ref="E72:E79" si="14">L4/D72</f>
        <v>162.79817606975985</v>
      </c>
      <c r="F72" s="128">
        <f>E72/4</f>
        <v>40.699544017439962</v>
      </c>
      <c r="G72" s="94">
        <f>(F72*D72)*4</f>
        <v>59604.486106540688</v>
      </c>
      <c r="I72" s="142"/>
    </row>
    <row r="73" spans="2:9" ht="15.75" x14ac:dyDescent="0.25">
      <c r="B73" s="115" t="s">
        <v>77</v>
      </c>
      <c r="C73" s="85">
        <v>28017.020000000004</v>
      </c>
      <c r="D73" s="125">
        <f>((C18+(C18*-62%))/J5)</f>
        <v>247.59226976744185</v>
      </c>
      <c r="E73" s="128">
        <f t="shared" si="14"/>
        <v>151.64927462894943</v>
      </c>
      <c r="F73" s="128">
        <f>E73/5</f>
        <v>30.329854925789885</v>
      </c>
      <c r="G73" s="94">
        <f>(F73*D73)*5</f>
        <v>37547.188113967721</v>
      </c>
      <c r="I73" s="142"/>
    </row>
    <row r="74" spans="2:9" ht="15.75" x14ac:dyDescent="0.25">
      <c r="B74" s="115" t="s">
        <v>78</v>
      </c>
      <c r="C74" s="85">
        <v>17372.7</v>
      </c>
      <c r="D74" s="125">
        <f>((C19+(C19*-35.4%))/J6)</f>
        <v>287.76318461538466</v>
      </c>
      <c r="E74" s="128">
        <f t="shared" si="14"/>
        <v>146.6843187111341</v>
      </c>
      <c r="F74" s="128">
        <f>E74/4</f>
        <v>36.671079677783524</v>
      </c>
      <c r="G74" s="94">
        <f t="shared" ref="G74" si="15">(F74*D74)*4</f>
        <v>42210.346685454002</v>
      </c>
      <c r="I74" s="142"/>
    </row>
    <row r="75" spans="2:9" ht="15.75" x14ac:dyDescent="0.25">
      <c r="B75" s="115" t="s">
        <v>94</v>
      </c>
      <c r="C75" s="85">
        <v>57359.55999999999</v>
      </c>
      <c r="D75" s="125">
        <f>((C20+(C20*-41.5%))/J7)</f>
        <v>248.55809333333332</v>
      </c>
      <c r="E75" s="128">
        <f t="shared" si="14"/>
        <v>324.4966265247694</v>
      </c>
      <c r="F75" s="128">
        <f>E75/5</f>
        <v>64.899325304953877</v>
      </c>
      <c r="G75" s="94">
        <f>(F75*D75)*5</f>
        <v>80656.262782095422</v>
      </c>
      <c r="I75" s="142"/>
    </row>
    <row r="76" spans="2:9" ht="15.75" x14ac:dyDescent="0.25">
      <c r="B76" s="115" t="s">
        <v>95</v>
      </c>
      <c r="C76" s="85">
        <v>67611.089999999982</v>
      </c>
      <c r="D76" s="125">
        <f>((C21+(C21*-31.8%))/J8)</f>
        <v>377.95707688524584</v>
      </c>
      <c r="E76" s="128">
        <f t="shared" si="14"/>
        <v>171.95720889146588</v>
      </c>
      <c r="F76" s="128">
        <f>E76/5</f>
        <v>34.391441778293178</v>
      </c>
      <c r="G76" s="94">
        <f>(F76*D76)*5</f>
        <v>64992.444021964053</v>
      </c>
      <c r="I76" s="142"/>
    </row>
    <row r="77" spans="2:9" ht="15.75" x14ac:dyDescent="0.25">
      <c r="B77" s="115" t="s">
        <v>82</v>
      </c>
      <c r="C77" s="85">
        <v>56968.500000000007</v>
      </c>
      <c r="D77" s="125">
        <f>((C22+(C22*-51.4%))/J9)</f>
        <v>285.42980412371139</v>
      </c>
      <c r="E77" s="128">
        <f t="shared" si="14"/>
        <v>257.27817030637101</v>
      </c>
      <c r="F77" s="128">
        <f>E77/5</f>
        <v>51.455634061274203</v>
      </c>
      <c r="G77" s="94">
        <f>(F77*D77)*5</f>
        <v>73434.857755854333</v>
      </c>
      <c r="I77" s="142"/>
    </row>
    <row r="78" spans="2:9" ht="15.75" x14ac:dyDescent="0.25">
      <c r="B78" s="115" t="s">
        <v>96</v>
      </c>
      <c r="C78" s="85">
        <v>841.51</v>
      </c>
      <c r="D78" s="125">
        <f>((C23+(C23*-62.5%))/J10)</f>
        <v>78.891562499999992</v>
      </c>
      <c r="E78" s="128">
        <f t="shared" si="14"/>
        <v>152.00857273281164</v>
      </c>
      <c r="F78" s="128">
        <f>E78/4</f>
        <v>38.002143183202911</v>
      </c>
      <c r="G78" s="94">
        <f t="shared" ref="G78:G79" si="16">(F78*D78)*4</f>
        <v>11992.193816286404</v>
      </c>
      <c r="I78" s="142"/>
    </row>
    <row r="79" spans="2:9" ht="15.75" x14ac:dyDescent="0.25">
      <c r="B79" s="115" t="s">
        <v>97</v>
      </c>
      <c r="C79" s="85">
        <v>2284.8900000000003</v>
      </c>
      <c r="D79" s="125">
        <f>((C24+(C24*-75%))/J11)</f>
        <v>81.603214285714301</v>
      </c>
      <c r="E79" s="128">
        <f t="shared" si="14"/>
        <v>158.49954787914919</v>
      </c>
      <c r="F79" s="128">
        <f>E79/4</f>
        <v>39.624886969787298</v>
      </c>
      <c r="G79" s="94">
        <f t="shared" si="16"/>
        <v>12934.072569771046</v>
      </c>
      <c r="I79" s="142"/>
    </row>
    <row r="80" spans="2:9" x14ac:dyDescent="0.25">
      <c r="C80" s="81">
        <f>SUM(C71:C79)</f>
        <v>294894.23</v>
      </c>
      <c r="E80" s="129">
        <f>SUM(E71:E79)</f>
        <v>1585.7999785191514</v>
      </c>
      <c r="F80" s="129">
        <f>SUM(F71:F79)</f>
        <v>396.50199269326572</v>
      </c>
      <c r="G80" s="101">
        <f>SUM(G71:G79)</f>
        <v>400344.47237080836</v>
      </c>
    </row>
  </sheetData>
  <mergeCells count="7">
    <mergeCell ref="B69:G69"/>
    <mergeCell ref="B5:C5"/>
    <mergeCell ref="B12:C12"/>
    <mergeCell ref="B14:G14"/>
    <mergeCell ref="B28:G28"/>
    <mergeCell ref="B41:G41"/>
    <mergeCell ref="B55:G5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rowBreaks count="1" manualBreakCount="1">
    <brk id="40" min="1" max="1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80"/>
  <sheetViews>
    <sheetView topLeftCell="A22" zoomScale="85" zoomScaleNormal="85" workbookViewId="0">
      <selection activeCell="B43" sqref="B43:G48"/>
    </sheetView>
  </sheetViews>
  <sheetFormatPr defaultRowHeight="15" x14ac:dyDescent="0.25"/>
  <cols>
    <col min="1" max="1" width="3.42578125" customWidth="1"/>
    <col min="2" max="2" width="31.5703125" bestFit="1" customWidth="1"/>
    <col min="3" max="3" width="15.140625" style="82" bestFit="1" customWidth="1"/>
    <col min="4" max="4" width="16" style="82" bestFit="1" customWidth="1"/>
    <col min="5" max="5" width="6.42578125" bestFit="1" customWidth="1"/>
    <col min="6" max="6" width="4.28515625" bestFit="1" customWidth="1"/>
    <col min="7" max="7" width="26" bestFit="1" customWidth="1"/>
    <col min="8" max="8" width="15.140625" style="82" bestFit="1" customWidth="1"/>
    <col min="9" max="9" width="13.85546875" bestFit="1" customWidth="1"/>
    <col min="10" max="10" width="8.42578125" bestFit="1" customWidth="1"/>
    <col min="11" max="14" width="15.140625" bestFit="1" customWidth="1"/>
    <col min="15" max="15" width="4.7109375" bestFit="1" customWidth="1"/>
  </cols>
  <sheetData>
    <row r="1" spans="2:15" x14ac:dyDescent="0.25">
      <c r="C1" s="83" t="s">
        <v>88</v>
      </c>
      <c r="D1" s="83" t="s">
        <v>89</v>
      </c>
    </row>
    <row r="2" spans="2:15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5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6664.4972617696149</v>
      </c>
      <c r="L3" s="94">
        <f>H3+I3+K3</f>
        <v>16972.62071553585</v>
      </c>
      <c r="M3" s="138">
        <v>10802.81</v>
      </c>
      <c r="N3" s="139">
        <f>(M3-(M3*O3))-L3</f>
        <v>-6315.8957155358494</v>
      </c>
      <c r="O3" s="134">
        <v>1.3522870438339654E-2</v>
      </c>
    </row>
    <row r="4" spans="2:15" ht="15.75" x14ac:dyDescent="0.25">
      <c r="B4" s="42" t="s">
        <v>91</v>
      </c>
      <c r="C4" s="109"/>
      <c r="D4" s="109">
        <f>Planilha3!E81+Planilha3!E82-L19</f>
        <v>93929.49579999999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12" si="0">J4*$D$6</f>
        <v>24723.135003338895</v>
      </c>
      <c r="L4" s="94">
        <f t="shared" ref="L4:L12" si="1">H4+I4+K4</f>
        <v>59604.486836089942</v>
      </c>
      <c r="M4" s="138">
        <v>53636.149999999994</v>
      </c>
      <c r="N4" s="139">
        <f t="shared" ref="N4:N11" si="2">(M4-(M4*O4))-L4</f>
        <v>-9464.5368360899447</v>
      </c>
      <c r="O4" s="134">
        <v>6.5183649460298712E-2</v>
      </c>
    </row>
    <row r="5" spans="2:15" ht="15.75" x14ac:dyDescent="0.25">
      <c r="B5" s="210" t="s">
        <v>198</v>
      </c>
      <c r="C5" s="210"/>
      <c r="D5" s="81">
        <f>SUM(D2:D4)</f>
        <v>128775.28579999998</v>
      </c>
      <c r="G5" s="115" t="s">
        <v>77</v>
      </c>
      <c r="H5" s="85">
        <v>22912.669533333334</v>
      </c>
      <c r="I5" s="92">
        <f>3436.4228+L18</f>
        <v>5390.2161999999998</v>
      </c>
      <c r="J5" s="130">
        <v>43</v>
      </c>
      <c r="K5" s="92">
        <f t="shared" si="0"/>
        <v>9244.30265342237</v>
      </c>
      <c r="L5" s="94">
        <f t="shared" si="1"/>
        <v>37547.188386755704</v>
      </c>
      <c r="M5" s="138">
        <v>28017.020000000004</v>
      </c>
      <c r="N5" s="139">
        <f t="shared" si="2"/>
        <v>-13994.170053422367</v>
      </c>
      <c r="O5" s="134">
        <v>0.15933177999182874</v>
      </c>
    </row>
    <row r="6" spans="2:15" ht="15.75" x14ac:dyDescent="0.25">
      <c r="B6" s="5" t="s">
        <v>204</v>
      </c>
      <c r="C6" s="110" t="s">
        <v>279</v>
      </c>
      <c r="D6" s="111">
        <f>D5/C6</f>
        <v>214.98378263772952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8384.367522871451</v>
      </c>
      <c r="L6" s="94">
        <f t="shared" si="1"/>
        <v>42210.346932866356</v>
      </c>
      <c r="M6" s="138">
        <v>17372.7</v>
      </c>
      <c r="N6" s="139">
        <f t="shared" si="2"/>
        <v>-27686.755266199689</v>
      </c>
      <c r="O6" s="134">
        <v>0.16399916727586</v>
      </c>
    </row>
    <row r="7" spans="2:15" ht="15.75" x14ac:dyDescent="0.25">
      <c r="G7" s="115" t="s">
        <v>94</v>
      </c>
      <c r="H7" s="85">
        <v>47869.319882429336</v>
      </c>
      <c r="I7" s="92">
        <v>3764.1331</v>
      </c>
      <c r="J7" s="130">
        <v>135</v>
      </c>
      <c r="K7" s="92">
        <f t="shared" si="0"/>
        <v>29022.810656093487</v>
      </c>
      <c r="L7" s="94">
        <f t="shared" si="1"/>
        <v>80656.263638522825</v>
      </c>
      <c r="M7" s="138">
        <v>57359.55999999999</v>
      </c>
      <c r="N7" s="139">
        <f t="shared" si="2"/>
        <v>-33903.763638522825</v>
      </c>
      <c r="O7" s="134">
        <v>0.18492226927821614</v>
      </c>
    </row>
    <row r="8" spans="2:15" ht="15.75" x14ac:dyDescent="0.25">
      <c r="B8" s="106" t="s">
        <v>270</v>
      </c>
      <c r="C8" s="107"/>
      <c r="D8" s="107">
        <f>Planilha3!F81+Planilha3!F82</f>
        <v>26245.7258</v>
      </c>
      <c r="G8" s="115" t="s">
        <v>95</v>
      </c>
      <c r="H8" s="85">
        <v>35000.290214117646</v>
      </c>
      <c r="I8" s="92">
        <v>3764.1331</v>
      </c>
      <c r="J8" s="130">
        <v>122</v>
      </c>
      <c r="K8" s="92">
        <f t="shared" si="0"/>
        <v>26228.021481803</v>
      </c>
      <c r="L8" s="94">
        <f t="shared" si="1"/>
        <v>64992.444795920645</v>
      </c>
      <c r="M8" s="138">
        <v>67611.089999999982</v>
      </c>
      <c r="N8" s="139">
        <f t="shared" si="2"/>
        <v>-6030.4281292539963</v>
      </c>
      <c r="O8" s="134">
        <v>0.12792388546514094</v>
      </c>
    </row>
    <row r="9" spans="2:15" ht="15.75" x14ac:dyDescent="0.25">
      <c r="B9" s="42" t="s">
        <v>271</v>
      </c>
      <c r="C9" s="109"/>
      <c r="D9" s="109">
        <f>Planilha3!D81+Planilha3!D82</f>
        <v>243980.68740000005</v>
      </c>
      <c r="G9" s="115" t="s">
        <v>82</v>
      </c>
      <c r="H9" s="85">
        <f>47187.1892553535-4000</f>
        <v>43187.1892553535</v>
      </c>
      <c r="I9" s="92">
        <f>3436.4228+L17</f>
        <v>5394.2421999999997</v>
      </c>
      <c r="J9" s="130">
        <v>97</v>
      </c>
      <c r="K9" s="92">
        <f t="shared" si="0"/>
        <v>20853.426915859764</v>
      </c>
      <c r="L9" s="94">
        <f t="shared" si="1"/>
        <v>69434.858371213268</v>
      </c>
      <c r="M9" s="138">
        <v>56968.500000000007</v>
      </c>
      <c r="N9" s="139">
        <f t="shared" si="2"/>
        <v>-21219.688371213262</v>
      </c>
      <c r="O9" s="134">
        <v>0.15365210598839707</v>
      </c>
    </row>
    <row r="10" spans="2:15" ht="15.75" x14ac:dyDescent="0.25">
      <c r="D10" s="81">
        <f>SUM(D8:D9)</f>
        <v>270226.41320000007</v>
      </c>
      <c r="G10" s="115" t="s">
        <v>96</v>
      </c>
      <c r="H10" s="85">
        <v>7695.8359111111113</v>
      </c>
      <c r="I10" s="92">
        <v>3436.4227999999998</v>
      </c>
      <c r="J10" s="130">
        <v>4</v>
      </c>
      <c r="K10" s="92">
        <f t="shared" si="0"/>
        <v>859.93513055091807</v>
      </c>
      <c r="L10" s="94">
        <f t="shared" si="1"/>
        <v>11992.193841662029</v>
      </c>
      <c r="M10" s="138">
        <v>841.51</v>
      </c>
      <c r="N10" s="139">
        <f t="shared" si="2"/>
        <v>-11432.583841662028</v>
      </c>
      <c r="O10" s="134">
        <v>0.33499304821095416</v>
      </c>
    </row>
    <row r="11" spans="2:15" ht="15.75" x14ac:dyDescent="0.25">
      <c r="G11" s="115" t="s">
        <v>97</v>
      </c>
      <c r="H11" s="85">
        <v>7992.7633357142849</v>
      </c>
      <c r="I11" s="92">
        <v>3436.4227999999998</v>
      </c>
      <c r="J11" s="130">
        <v>7</v>
      </c>
      <c r="K11" s="92">
        <f t="shared" si="0"/>
        <v>1504.8864784641066</v>
      </c>
      <c r="L11" s="94">
        <f t="shared" si="1"/>
        <v>12934.072614178391</v>
      </c>
      <c r="M11" s="138">
        <v>2284.8900000000003</v>
      </c>
      <c r="N11" s="139">
        <f t="shared" si="2"/>
        <v>-11557.059280845056</v>
      </c>
      <c r="O11" s="134">
        <v>0.39733933216332801</v>
      </c>
    </row>
    <row r="12" spans="2:15" ht="15.75" x14ac:dyDescent="0.25">
      <c r="B12" s="211" t="s">
        <v>272</v>
      </c>
      <c r="C12" s="211"/>
      <c r="D12" s="112">
        <f>D10+D5</f>
        <v>399001.69900000002</v>
      </c>
      <c r="G12" s="115" t="s">
        <v>98</v>
      </c>
      <c r="H12" s="85">
        <v>2399.1003714285716</v>
      </c>
      <c r="I12" s="92">
        <v>2971.6760000000004</v>
      </c>
      <c r="J12" s="130">
        <v>6</v>
      </c>
      <c r="K12" s="92">
        <f t="shared" si="0"/>
        <v>1289.9026958263771</v>
      </c>
      <c r="L12" s="94">
        <f t="shared" si="1"/>
        <v>6660.6790672549487</v>
      </c>
      <c r="M12" s="138">
        <f>6*238</f>
        <v>1428</v>
      </c>
      <c r="N12" s="139">
        <f t="shared" ref="N12" si="3">M12-L12</f>
        <v>-5232.6790672549487</v>
      </c>
    </row>
    <row r="13" spans="2:15" x14ac:dyDescent="0.25">
      <c r="H13" s="81">
        <f t="shared" ref="H13:N13" si="4">SUM(H3:H12)</f>
        <v>239980.68739999997</v>
      </c>
      <c r="I13" s="81">
        <f t="shared" si="4"/>
        <v>34249.182000000001</v>
      </c>
      <c r="J13" s="131">
        <f t="shared" si="4"/>
        <v>599</v>
      </c>
      <c r="K13" s="81">
        <f t="shared" si="4"/>
        <v>128775.28579999997</v>
      </c>
      <c r="L13" s="81">
        <f t="shared" si="4"/>
        <v>403005.15519999992</v>
      </c>
      <c r="M13" s="81">
        <f t="shared" si="4"/>
        <v>296322.23</v>
      </c>
      <c r="N13" s="140">
        <f t="shared" si="4"/>
        <v>-146837.56019999995</v>
      </c>
    </row>
    <row r="14" spans="2:15" s="116" customFormat="1" x14ac:dyDescent="0.25">
      <c r="B14" s="208" t="s">
        <v>283</v>
      </c>
      <c r="C14" s="208"/>
      <c r="D14" s="208"/>
      <c r="E14" s="208"/>
      <c r="F14" s="208"/>
      <c r="G14" s="208"/>
      <c r="H14" s="117"/>
    </row>
    <row r="15" spans="2:15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22"/>
      <c r="J15" s="124"/>
      <c r="K15" s="123"/>
      <c r="L15" s="118"/>
    </row>
    <row r="16" spans="2:15" s="116" customFormat="1" ht="15.75" x14ac:dyDescent="0.25">
      <c r="B16" s="115" t="s">
        <v>92</v>
      </c>
      <c r="C16" s="85">
        <v>10802.81</v>
      </c>
      <c r="D16" s="125">
        <f t="shared" ref="D16:D25" si="5">((C16+(C16*-15%))/J3)</f>
        <v>296.20608064516125</v>
      </c>
      <c r="E16" s="128">
        <f>L3/D16</f>
        <v>57.300041506805272</v>
      </c>
      <c r="F16" s="128">
        <f>E16/1</f>
        <v>57.300041506805272</v>
      </c>
      <c r="G16" s="94">
        <f>E16*D16</f>
        <v>16972.62071553585</v>
      </c>
      <c r="H16" s="132"/>
      <c r="I16" s="117"/>
      <c r="J16" s="119"/>
      <c r="K16" s="117" t="s">
        <v>80</v>
      </c>
      <c r="L16" s="119">
        <f>(1762.4+1591.57)+((1762.4+1591.57)*22%)</f>
        <v>4091.8434000000002</v>
      </c>
    </row>
    <row r="17" spans="2:12" s="116" customFormat="1" ht="15.75" x14ac:dyDescent="0.25">
      <c r="B17" s="115" t="s">
        <v>93</v>
      </c>
      <c r="C17" s="85">
        <v>53636.149999999994</v>
      </c>
      <c r="D17" s="125">
        <f t="shared" si="5"/>
        <v>396.44110869565213</v>
      </c>
      <c r="E17" s="128">
        <f t="shared" ref="E17:E25" si="6">L4/D17</f>
        <v>150.34890562231857</v>
      </c>
      <c r="F17" s="128">
        <f>E17/4</f>
        <v>37.587226405579642</v>
      </c>
      <c r="G17" s="94">
        <f t="shared" ref="G17:G25" si="7">E17*D17</f>
        <v>59604.486836089942</v>
      </c>
      <c r="H17" s="132"/>
      <c r="I17" s="117"/>
      <c r="J17" s="119"/>
      <c r="K17" s="117" t="s">
        <v>295</v>
      </c>
      <c r="L17" s="119">
        <f>1604.77+(1604.77*22%)</f>
        <v>1957.8193999999999</v>
      </c>
    </row>
    <row r="18" spans="2:12" s="116" customFormat="1" ht="15.75" x14ac:dyDescent="0.25">
      <c r="B18" s="115" t="s">
        <v>77</v>
      </c>
      <c r="C18" s="85">
        <v>28017.020000000004</v>
      </c>
      <c r="D18" s="125">
        <f t="shared" si="5"/>
        <v>553.8248139534885</v>
      </c>
      <c r="E18" s="128">
        <f t="shared" si="6"/>
        <v>67.796146797259624</v>
      </c>
      <c r="F18" s="128">
        <f>E18/5</f>
        <v>13.559229359451924</v>
      </c>
      <c r="G18" s="94">
        <f t="shared" si="7"/>
        <v>37547.188386755704</v>
      </c>
      <c r="H18" s="132"/>
      <c r="I18" s="117"/>
      <c r="J18" s="137"/>
      <c r="K18" s="117" t="s">
        <v>296</v>
      </c>
      <c r="L18" s="136">
        <f>1601.47+(1601.47*22%)</f>
        <v>1953.7934</v>
      </c>
    </row>
    <row r="19" spans="2:12" s="116" customFormat="1" ht="15.75" x14ac:dyDescent="0.25">
      <c r="B19" s="115" t="s">
        <v>78</v>
      </c>
      <c r="C19" s="85">
        <v>17372.7</v>
      </c>
      <c r="D19" s="125">
        <f t="shared" si="5"/>
        <v>378.63576923076926</v>
      </c>
      <c r="E19" s="128">
        <f t="shared" si="6"/>
        <v>111.48008287389293</v>
      </c>
      <c r="F19" s="128">
        <f>E19/4</f>
        <v>27.870020718473231</v>
      </c>
      <c r="G19" s="94">
        <f t="shared" si="7"/>
        <v>42210.346932866356</v>
      </c>
      <c r="H19" s="132"/>
      <c r="I19" s="117"/>
      <c r="J19" s="136"/>
      <c r="K19" s="117"/>
      <c r="L19" s="122">
        <f>SUM(L16:L18)</f>
        <v>8003.4562000000005</v>
      </c>
    </row>
    <row r="20" spans="2:12" s="116" customFormat="1" ht="15.75" x14ac:dyDescent="0.25">
      <c r="B20" s="115" t="s">
        <v>94</v>
      </c>
      <c r="C20" s="85">
        <v>57359.55999999999</v>
      </c>
      <c r="D20" s="125">
        <f t="shared" si="5"/>
        <v>361.15278518518511</v>
      </c>
      <c r="E20" s="128">
        <f t="shared" si="6"/>
        <v>223.33003356783038</v>
      </c>
      <c r="F20" s="128">
        <f>E20/5</f>
        <v>44.666006713566077</v>
      </c>
      <c r="G20" s="94">
        <f t="shared" si="7"/>
        <v>80656.263638522825</v>
      </c>
      <c r="H20" s="132"/>
      <c r="I20" s="117"/>
      <c r="J20" s="119"/>
      <c r="K20" s="119"/>
      <c r="L20" s="121"/>
    </row>
    <row r="21" spans="2:12" s="116" customFormat="1" ht="15.75" x14ac:dyDescent="0.25">
      <c r="B21" s="115" t="s">
        <v>95</v>
      </c>
      <c r="C21" s="85">
        <v>67611.089999999982</v>
      </c>
      <c r="D21" s="125">
        <f t="shared" si="5"/>
        <v>471.06087295081954</v>
      </c>
      <c r="E21" s="128">
        <f t="shared" si="6"/>
        <v>137.97037395357199</v>
      </c>
      <c r="F21" s="128">
        <f>E21/5</f>
        <v>27.594074790714398</v>
      </c>
      <c r="G21" s="94">
        <f t="shared" si="7"/>
        <v>64992.444795920637</v>
      </c>
      <c r="H21" s="132"/>
      <c r="I21" s="117"/>
      <c r="J21" s="119"/>
      <c r="K21" s="119"/>
      <c r="L21" s="121"/>
    </row>
    <row r="22" spans="2:12" s="116" customFormat="1" ht="15.75" x14ac:dyDescent="0.25">
      <c r="B22" s="115" t="s">
        <v>82</v>
      </c>
      <c r="C22" s="85">
        <v>56968.500000000007</v>
      </c>
      <c r="D22" s="125">
        <f t="shared" si="5"/>
        <v>499.20850515463923</v>
      </c>
      <c r="E22" s="128">
        <f t="shared" si="6"/>
        <v>139.08989461168036</v>
      </c>
      <c r="F22" s="128">
        <f>E22/5</f>
        <v>27.817978922336074</v>
      </c>
      <c r="G22" s="94">
        <f t="shared" si="7"/>
        <v>69434.858371213268</v>
      </c>
      <c r="H22" s="132"/>
      <c r="I22" s="117"/>
      <c r="J22" s="119"/>
      <c r="K22" s="119"/>
      <c r="L22" s="121"/>
    </row>
    <row r="23" spans="2:12" s="116" customFormat="1" ht="15.75" x14ac:dyDescent="0.25">
      <c r="B23" s="115" t="s">
        <v>96</v>
      </c>
      <c r="C23" s="85">
        <v>841.51</v>
      </c>
      <c r="D23" s="125">
        <f t="shared" si="5"/>
        <v>178.820875</v>
      </c>
      <c r="E23" s="128">
        <f t="shared" si="6"/>
        <v>67.062605759322167</v>
      </c>
      <c r="F23" s="128">
        <f>E23/4</f>
        <v>16.765651439830542</v>
      </c>
      <c r="G23" s="94">
        <f t="shared" si="7"/>
        <v>11992.193841662029</v>
      </c>
      <c r="H23" s="132"/>
      <c r="I23" s="117"/>
      <c r="J23" s="119"/>
      <c r="K23" s="119"/>
      <c r="L23" s="121"/>
    </row>
    <row r="24" spans="2:12" s="116" customFormat="1" ht="15.75" x14ac:dyDescent="0.25">
      <c r="B24" s="115" t="s">
        <v>97</v>
      </c>
      <c r="C24" s="85">
        <v>2284.8900000000003</v>
      </c>
      <c r="D24" s="125">
        <f t="shared" si="5"/>
        <v>277.45092857142862</v>
      </c>
      <c r="E24" s="128">
        <f t="shared" si="6"/>
        <v>46.617514242157476</v>
      </c>
      <c r="F24" s="128">
        <f>E24/4</f>
        <v>11.654378560539369</v>
      </c>
      <c r="G24" s="94">
        <f t="shared" si="7"/>
        <v>12934.072614178391</v>
      </c>
      <c r="H24" s="132"/>
      <c r="I24" s="117"/>
      <c r="J24" s="119"/>
      <c r="K24" s="119"/>
      <c r="L24" s="121"/>
    </row>
    <row r="25" spans="2:12" s="116" customFormat="1" ht="15.75" x14ac:dyDescent="0.25">
      <c r="B25" s="115" t="s">
        <v>98</v>
      </c>
      <c r="C25" s="85">
        <f>6*238</f>
        <v>1428</v>
      </c>
      <c r="D25" s="125">
        <f t="shared" si="5"/>
        <v>202.29999999999998</v>
      </c>
      <c r="E25" s="128">
        <f t="shared" si="6"/>
        <v>32.924760589495548</v>
      </c>
      <c r="F25" s="128">
        <f>E25/2</f>
        <v>16.462380294747774</v>
      </c>
      <c r="G25" s="94">
        <f t="shared" si="7"/>
        <v>6660.6790672549487</v>
      </c>
      <c r="H25" s="132"/>
      <c r="I25" s="117"/>
      <c r="J25" s="119"/>
      <c r="K25" s="119"/>
      <c r="L25" s="121"/>
    </row>
    <row r="26" spans="2:12" s="116" customFormat="1" x14ac:dyDescent="0.25">
      <c r="B26"/>
      <c r="C26" s="81">
        <f>SUM(C16:C25)</f>
        <v>296322.23</v>
      </c>
      <c r="D26" s="117"/>
      <c r="E26" s="129">
        <f>SUM(E16:E25)</f>
        <v>1033.9203595243343</v>
      </c>
      <c r="F26" s="129">
        <f>SUM(F16:F25)</f>
        <v>281.27698871204433</v>
      </c>
      <c r="G26" s="101">
        <f>SUM(G16:G25)</f>
        <v>403005.15519999992</v>
      </c>
      <c r="H26" s="122"/>
      <c r="I26" s="122"/>
      <c r="J26" s="119"/>
      <c r="K26" s="122"/>
      <c r="L26" s="122"/>
    </row>
    <row r="27" spans="2:12" s="116" customFormat="1" x14ac:dyDescent="0.25">
      <c r="B27"/>
      <c r="C27" s="81"/>
      <c r="D27" s="117"/>
      <c r="E27" s="117"/>
      <c r="F27" s="117"/>
      <c r="G27" s="101"/>
      <c r="H27" s="122"/>
      <c r="I27" s="122"/>
      <c r="J27" s="119"/>
      <c r="K27" s="122"/>
      <c r="L27" s="122"/>
    </row>
    <row r="28" spans="2:12" s="116" customFormat="1" x14ac:dyDescent="0.25">
      <c r="B28" s="208" t="s">
        <v>284</v>
      </c>
      <c r="C28" s="208"/>
      <c r="D28" s="208"/>
      <c r="E28" s="208"/>
      <c r="F28" s="208"/>
      <c r="G28" s="208"/>
      <c r="H28" s="117"/>
    </row>
    <row r="29" spans="2:12" x14ac:dyDescent="0.25">
      <c r="B29" s="114" t="s">
        <v>275</v>
      </c>
      <c r="C29" s="114" t="s">
        <v>280</v>
      </c>
      <c r="D29" s="126" t="s">
        <v>277</v>
      </c>
      <c r="E29" s="114" t="s">
        <v>281</v>
      </c>
      <c r="F29" s="127" t="s">
        <v>278</v>
      </c>
      <c r="G29" s="114" t="s">
        <v>198</v>
      </c>
    </row>
    <row r="30" spans="2:12" ht="15.75" x14ac:dyDescent="0.25">
      <c r="B30" s="115" t="s">
        <v>92</v>
      </c>
      <c r="C30" s="133">
        <v>2</v>
      </c>
      <c r="D30" s="125">
        <f>((C16+(C16*-2.4%)))/J3</f>
        <v>340.11427612903225</v>
      </c>
      <c r="E30" s="141">
        <v>1.3522870438339654E-2</v>
      </c>
      <c r="F30" s="128">
        <f>L3/D30</f>
        <v>49.902700082770984</v>
      </c>
      <c r="G30" s="94">
        <f>F30*D30</f>
        <v>16972.62071553585</v>
      </c>
    </row>
    <row r="31" spans="2:12" ht="15.75" x14ac:dyDescent="0.25">
      <c r="B31" s="115" t="s">
        <v>93</v>
      </c>
      <c r="C31" s="133">
        <v>10</v>
      </c>
      <c r="D31" s="125">
        <f>((C17+(C17*-7.5%))/J4)</f>
        <v>431.42120652173907</v>
      </c>
      <c r="E31" s="141">
        <v>6.5183649460298712E-2</v>
      </c>
      <c r="F31" s="128">
        <f>(L4/D31)/4</f>
        <v>34.539613453775893</v>
      </c>
      <c r="G31" s="94">
        <f>(F31*D31)*4</f>
        <v>59604.486836089949</v>
      </c>
    </row>
    <row r="32" spans="2:12" ht="15.75" x14ac:dyDescent="0.25">
      <c r="B32" s="115" t="s">
        <v>77</v>
      </c>
      <c r="C32" s="133">
        <v>12</v>
      </c>
      <c r="D32" s="125">
        <f>((C18+(C18*-16.9%))/J5)</f>
        <v>541.44520046511639</v>
      </c>
      <c r="E32" s="141">
        <v>0.15933177999182874</v>
      </c>
      <c r="F32" s="128">
        <f>(L5/D32)/5</f>
        <v>13.869247840594628</v>
      </c>
      <c r="G32" s="94">
        <f>(F32*D32)*5</f>
        <v>37547.188386755704</v>
      </c>
    </row>
    <row r="33" spans="2:12" ht="15.75" x14ac:dyDescent="0.25">
      <c r="B33" s="115" t="s">
        <v>78</v>
      </c>
      <c r="C33" s="133">
        <v>7</v>
      </c>
      <c r="D33" s="125">
        <f>((C19+(C19*-17.4%))/J6)</f>
        <v>367.94487692307695</v>
      </c>
      <c r="E33" s="141">
        <v>0.16399916727586</v>
      </c>
      <c r="F33" s="128">
        <f>(L6/D33)/4</f>
        <v>28.679803402787226</v>
      </c>
      <c r="G33" s="94">
        <f t="shared" ref="G33:G38" si="8">(F33*D33)*4</f>
        <v>42210.346932866356</v>
      </c>
    </row>
    <row r="34" spans="2:12" ht="15.75" x14ac:dyDescent="0.25">
      <c r="B34" s="115" t="s">
        <v>94</v>
      </c>
      <c r="C34" s="133">
        <v>38</v>
      </c>
      <c r="D34" s="125">
        <f>((C20+(C20*-19.5%))/J7)</f>
        <v>342.0329318518518</v>
      </c>
      <c r="E34" s="141">
        <v>0.18492226927821614</v>
      </c>
      <c r="F34" s="128">
        <f>(L7/D34)/5</f>
        <v>47.16286423171573</v>
      </c>
      <c r="G34" s="94">
        <f>(F34*D34)*5</f>
        <v>80656.263638522825</v>
      </c>
    </row>
    <row r="35" spans="2:12" ht="15.75" x14ac:dyDescent="0.25">
      <c r="B35" s="115" t="s">
        <v>95</v>
      </c>
      <c r="C35" s="133">
        <v>17</v>
      </c>
      <c r="D35" s="125">
        <f>((C21+(C21*-13.8%))/J8)</f>
        <v>477.71114409836053</v>
      </c>
      <c r="E35" s="141">
        <v>0.12792388546514094</v>
      </c>
      <c r="F35" s="128">
        <f>(L8/D35)/5</f>
        <v>27.20993453840747</v>
      </c>
      <c r="G35" s="94">
        <f>(F35*D35)*5</f>
        <v>64992.444795920637</v>
      </c>
    </row>
    <row r="36" spans="2:12" ht="15.75" x14ac:dyDescent="0.25">
      <c r="B36" s="115" t="s">
        <v>82</v>
      </c>
      <c r="C36" s="133">
        <v>17</v>
      </c>
      <c r="D36" s="125">
        <f>((C22+(C22*-16.4%))/J9)</f>
        <v>490.98624742268044</v>
      </c>
      <c r="E36" s="141">
        <v>0.15365210598839707</v>
      </c>
      <c r="F36" s="128">
        <f>(L9/D36)/5</f>
        <v>28.28383024400199</v>
      </c>
      <c r="G36" s="94">
        <f>(F36*D36)*5</f>
        <v>69434.858371213268</v>
      </c>
    </row>
    <row r="37" spans="2:12" ht="15.75" x14ac:dyDescent="0.25">
      <c r="B37" s="115" t="s">
        <v>96</v>
      </c>
      <c r="C37" s="133">
        <v>2</v>
      </c>
      <c r="D37" s="125">
        <f>((C23+(C23*-34.5%))/J10)</f>
        <v>137.79726249999999</v>
      </c>
      <c r="E37" s="141">
        <v>0.33499304821095416</v>
      </c>
      <c r="F37" s="128">
        <f>(L10/D37)/4</f>
        <v>21.756952250161774</v>
      </c>
      <c r="G37" s="94">
        <f t="shared" si="8"/>
        <v>11992.193841662029</v>
      </c>
    </row>
    <row r="38" spans="2:12" ht="15.75" x14ac:dyDescent="0.25">
      <c r="B38" s="115" t="s">
        <v>97</v>
      </c>
      <c r="C38" s="133">
        <v>3</v>
      </c>
      <c r="D38" s="125">
        <f>((C24+(C24*-40.7%))/J11)</f>
        <v>193.5628242857143</v>
      </c>
      <c r="E38" s="141">
        <v>0.39733933216332801</v>
      </c>
      <c r="F38" s="128">
        <f>(L11/D38)/4</f>
        <v>16.70526437851343</v>
      </c>
      <c r="G38" s="94">
        <f t="shared" si="8"/>
        <v>12934.072614178389</v>
      </c>
    </row>
    <row r="39" spans="2:12" x14ac:dyDescent="0.25">
      <c r="F39" s="129">
        <f>SUM(F29:F38)</f>
        <v>268.11021042272915</v>
      </c>
      <c r="G39" s="101">
        <f>SUM(G30:G38)</f>
        <v>396344.47613274504</v>
      </c>
    </row>
    <row r="40" spans="2:12" x14ac:dyDescent="0.25">
      <c r="G40" s="101"/>
    </row>
    <row r="41" spans="2:12" x14ac:dyDescent="0.25">
      <c r="B41" s="208" t="s">
        <v>285</v>
      </c>
      <c r="C41" s="208"/>
      <c r="D41" s="208"/>
      <c r="E41" s="208"/>
      <c r="F41" s="208"/>
      <c r="G41" s="208"/>
    </row>
    <row r="42" spans="2:12" x14ac:dyDescent="0.25">
      <c r="B42" s="114" t="s">
        <v>275</v>
      </c>
      <c r="C42" s="114" t="s">
        <v>282</v>
      </c>
      <c r="D42" s="126" t="s">
        <v>277</v>
      </c>
      <c r="E42" s="127" t="s">
        <v>278</v>
      </c>
      <c r="F42" s="127" t="s">
        <v>278</v>
      </c>
      <c r="G42" s="114" t="s">
        <v>198</v>
      </c>
      <c r="H42"/>
    </row>
    <row r="43" spans="2:12" ht="15.75" customHeight="1" x14ac:dyDescent="0.25">
      <c r="B43" s="156" t="s">
        <v>92</v>
      </c>
      <c r="C43" s="157">
        <v>0.17</v>
      </c>
      <c r="D43" s="158">
        <f>((C16+(C16*-18%))/J3)</f>
        <v>285.75174838709671</v>
      </c>
      <c r="E43" s="159">
        <f t="shared" ref="E43:E51" si="9">L3/D43</f>
        <v>59.396384488761569</v>
      </c>
      <c r="F43" s="159">
        <f>E43/1</f>
        <v>59.396384488761569</v>
      </c>
      <c r="G43" s="160">
        <f>E43*D43</f>
        <v>16972.62071553585</v>
      </c>
      <c r="H43" s="213" t="s">
        <v>298</v>
      </c>
      <c r="I43" s="209"/>
      <c r="J43" s="209"/>
      <c r="K43" s="209"/>
      <c r="L43" s="209"/>
    </row>
    <row r="44" spans="2:12" ht="15.75" x14ac:dyDescent="0.25">
      <c r="B44" s="156" t="s">
        <v>93</v>
      </c>
      <c r="C44" s="157">
        <v>0.15</v>
      </c>
      <c r="D44" s="158">
        <f>((C17+(C17*-16%))/J4)</f>
        <v>391.77709565217384</v>
      </c>
      <c r="E44" s="159">
        <f t="shared" si="9"/>
        <v>152.13877354639379</v>
      </c>
      <c r="F44" s="159">
        <f>E44/4</f>
        <v>38.034693386598448</v>
      </c>
      <c r="G44" s="160">
        <f>(F44*D44)*4</f>
        <v>59604.486836089935</v>
      </c>
      <c r="H44" s="213"/>
      <c r="I44" s="209"/>
      <c r="J44" s="209"/>
      <c r="K44" s="209"/>
      <c r="L44" s="209"/>
    </row>
    <row r="45" spans="2:12" ht="15.75" x14ac:dyDescent="0.25">
      <c r="B45" s="156" t="s">
        <v>77</v>
      </c>
      <c r="C45" s="157">
        <v>0.46</v>
      </c>
      <c r="D45" s="158">
        <f>((C18+(C18*-47%))/J5)</f>
        <v>345.32606046511637</v>
      </c>
      <c r="E45" s="159">
        <f t="shared" si="9"/>
        <v>108.72966939183146</v>
      </c>
      <c r="F45" s="159">
        <f>E45/5</f>
        <v>21.745933878366294</v>
      </c>
      <c r="G45" s="160">
        <f>(F45*D45)*5</f>
        <v>37547.188386755704</v>
      </c>
      <c r="H45" s="213"/>
      <c r="I45" s="209"/>
      <c r="J45" s="209"/>
      <c r="K45" s="209"/>
      <c r="L45" s="209"/>
    </row>
    <row r="46" spans="2:12" ht="15.75" x14ac:dyDescent="0.25">
      <c r="B46" s="156" t="s">
        <v>78</v>
      </c>
      <c r="C46" s="157">
        <v>0.19</v>
      </c>
      <c r="D46" s="158">
        <f>((C19+(C19*-20%))/J6)</f>
        <v>356.3630769230769</v>
      </c>
      <c r="E46" s="159">
        <f t="shared" si="9"/>
        <v>118.44758805351125</v>
      </c>
      <c r="F46" s="159">
        <f>E46/4</f>
        <v>29.611897013377813</v>
      </c>
      <c r="G46" s="160">
        <f t="shared" ref="G46:G51" si="10">(F46*D46)*4</f>
        <v>42210.346932866356</v>
      </c>
      <c r="H46"/>
    </row>
    <row r="47" spans="2:12" ht="15.75" customHeight="1" x14ac:dyDescent="0.25">
      <c r="B47" s="156" t="s">
        <v>94</v>
      </c>
      <c r="C47" s="157">
        <v>0.23</v>
      </c>
      <c r="D47" s="158">
        <f>((C20+(C20*-24%))/J7)</f>
        <v>322.91307851851843</v>
      </c>
      <c r="E47" s="159">
        <f t="shared" si="9"/>
        <v>249.77701122717872</v>
      </c>
      <c r="F47" s="159">
        <f>E47/5</f>
        <v>49.955402245435742</v>
      </c>
      <c r="G47" s="160">
        <f>(F47*D47)*5</f>
        <v>80656.263638522825</v>
      </c>
      <c r="H47" s="213" t="s">
        <v>291</v>
      </c>
      <c r="I47" s="209"/>
      <c r="J47" s="209"/>
      <c r="K47" s="209"/>
      <c r="L47" s="209"/>
    </row>
    <row r="48" spans="2:12" ht="15.75" x14ac:dyDescent="0.25">
      <c r="B48" s="156" t="s">
        <v>95</v>
      </c>
      <c r="C48" s="157">
        <v>0.19</v>
      </c>
      <c r="D48" s="158">
        <f>((C21+(C21*-20%))/J8)</f>
        <v>443.3514098360655</v>
      </c>
      <c r="E48" s="159">
        <f t="shared" si="9"/>
        <v>146.59352232567025</v>
      </c>
      <c r="F48" s="159">
        <f>E48/5</f>
        <v>29.318704465134051</v>
      </c>
      <c r="G48" s="160">
        <f>(F48*D48)*5</f>
        <v>64992.444795920645</v>
      </c>
      <c r="H48" s="213"/>
      <c r="I48" s="209"/>
      <c r="J48" s="209"/>
      <c r="K48" s="209"/>
      <c r="L48" s="209"/>
    </row>
    <row r="49" spans="2:12" ht="15.75" x14ac:dyDescent="0.25">
      <c r="B49" s="150" t="s">
        <v>294</v>
      </c>
      <c r="C49" s="135">
        <v>0.15</v>
      </c>
      <c r="D49" s="85">
        <f>((C22+(C22*-16%))/J9)</f>
        <v>493.33546391752589</v>
      </c>
      <c r="E49" s="151">
        <f t="shared" si="9"/>
        <v>140.74572669039082</v>
      </c>
      <c r="F49" s="151">
        <f>E49/5</f>
        <v>28.149145338078164</v>
      </c>
      <c r="G49" s="94">
        <f>(F49*D49)*5</f>
        <v>69434.858371213253</v>
      </c>
      <c r="H49" s="213"/>
      <c r="I49" s="209"/>
      <c r="J49" s="209"/>
      <c r="K49" s="209"/>
      <c r="L49" s="209"/>
    </row>
    <row r="50" spans="2:12" ht="15.75" x14ac:dyDescent="0.25">
      <c r="B50" s="150" t="s">
        <v>96</v>
      </c>
      <c r="C50" s="144">
        <v>0.28999999999999998</v>
      </c>
      <c r="D50" s="148">
        <f>((C23+(C23*-30%))/J10)</f>
        <v>147.26425</v>
      </c>
      <c r="E50" s="149">
        <f t="shared" si="9"/>
        <v>81.433164136319775</v>
      </c>
      <c r="F50" s="149">
        <f>E50/4</f>
        <v>20.358291034079944</v>
      </c>
      <c r="G50" s="94">
        <f t="shared" si="10"/>
        <v>11992.193841662031</v>
      </c>
      <c r="H50"/>
    </row>
    <row r="51" spans="2:12" ht="15.75" x14ac:dyDescent="0.25">
      <c r="B51" s="150" t="s">
        <v>97</v>
      </c>
      <c r="C51" s="144">
        <v>0.6</v>
      </c>
      <c r="D51" s="148">
        <f>((C24+(C24*-61%))/J11)</f>
        <v>127.30101428571432</v>
      </c>
      <c r="E51" s="149">
        <f t="shared" si="9"/>
        <v>101.60227463034322</v>
      </c>
      <c r="F51" s="149">
        <f>E51/4</f>
        <v>25.400568657585804</v>
      </c>
      <c r="G51" s="94">
        <f t="shared" si="10"/>
        <v>12934.072614178391</v>
      </c>
      <c r="H51"/>
    </row>
    <row r="52" spans="2:12" x14ac:dyDescent="0.25">
      <c r="E52" s="129">
        <f>SUM(E43:E51)</f>
        <v>1158.8641144904009</v>
      </c>
      <c r="F52" s="129">
        <f>SUM(F43:F51)</f>
        <v>301.97102050741785</v>
      </c>
      <c r="G52" s="101">
        <f>SUM(G43:G51)</f>
        <v>396344.47613274498</v>
      </c>
      <c r="H52"/>
    </row>
    <row r="55" spans="2:12" x14ac:dyDescent="0.25">
      <c r="B55" s="208" t="s">
        <v>286</v>
      </c>
      <c r="C55" s="208"/>
      <c r="D55" s="208"/>
      <c r="E55" s="208"/>
      <c r="F55" s="208"/>
      <c r="G55" s="208"/>
    </row>
    <row r="56" spans="2:12" x14ac:dyDescent="0.25">
      <c r="B56" s="114" t="s">
        <v>275</v>
      </c>
      <c r="C56" s="114" t="s">
        <v>276</v>
      </c>
      <c r="D56" s="126" t="s">
        <v>277</v>
      </c>
      <c r="E56" s="127" t="s">
        <v>278</v>
      </c>
      <c r="F56" s="127" t="s">
        <v>278</v>
      </c>
      <c r="G56" s="114" t="s">
        <v>198</v>
      </c>
    </row>
    <row r="57" spans="2:12" ht="15.75" x14ac:dyDescent="0.25">
      <c r="B57" s="115" t="s">
        <v>92</v>
      </c>
      <c r="C57" s="85">
        <v>10802.81</v>
      </c>
      <c r="D57" s="125">
        <f>((C16+(C16*-32%))/J3)</f>
        <v>236.96486451612901</v>
      </c>
      <c r="E57" s="128">
        <f>L3/D57</f>
        <v>71.625051883506586</v>
      </c>
      <c r="F57" s="128">
        <f>E57/1</f>
        <v>71.625051883506586</v>
      </c>
      <c r="G57" s="94">
        <f>E57*D57</f>
        <v>16972.62071553585</v>
      </c>
    </row>
    <row r="58" spans="2:12" ht="15.75" x14ac:dyDescent="0.25">
      <c r="B58" s="115" t="s">
        <v>93</v>
      </c>
      <c r="C58" s="85">
        <v>53636.149999999994</v>
      </c>
      <c r="D58" s="125">
        <f>((C17+(C17*-30%))/J4)</f>
        <v>326.48091304347821</v>
      </c>
      <c r="E58" s="128">
        <f t="shared" ref="E58:E65" si="11">L4/D58</f>
        <v>182.56652825567255</v>
      </c>
      <c r="F58" s="128">
        <f>E58/4</f>
        <v>45.641632063918138</v>
      </c>
      <c r="G58" s="94">
        <f>(F58*D58)*4</f>
        <v>59604.486836089935</v>
      </c>
    </row>
    <row r="59" spans="2:12" ht="15.75" x14ac:dyDescent="0.25">
      <c r="B59" s="115" t="s">
        <v>77</v>
      </c>
      <c r="C59" s="85">
        <v>28017.020000000004</v>
      </c>
      <c r="D59" s="125">
        <f>((C18+(C18*-61%))/J5)</f>
        <v>254.10785581395351</v>
      </c>
      <c r="E59" s="128">
        <f t="shared" si="11"/>
        <v>147.76083276325818</v>
      </c>
      <c r="F59" s="128">
        <f>E59/5</f>
        <v>29.552166552651634</v>
      </c>
      <c r="G59" s="94">
        <f>(F59*D59)*5</f>
        <v>37547.188386755704</v>
      </c>
    </row>
    <row r="60" spans="2:12" ht="15.75" x14ac:dyDescent="0.25">
      <c r="B60" s="115" t="s">
        <v>78</v>
      </c>
      <c r="C60" s="85">
        <v>17372.7</v>
      </c>
      <c r="D60" s="125">
        <f>((C19+(C19*-34%))/J6)</f>
        <v>293.99953846153846</v>
      </c>
      <c r="E60" s="128">
        <f t="shared" si="11"/>
        <v>143.57283400425607</v>
      </c>
      <c r="F60" s="128">
        <f>E60/4</f>
        <v>35.893208501064017</v>
      </c>
      <c r="G60" s="94">
        <f t="shared" ref="G60" si="12">(F60*D60)*4</f>
        <v>42210.346932866356</v>
      </c>
    </row>
    <row r="61" spans="2:12" ht="15.75" x14ac:dyDescent="0.25">
      <c r="B61" s="115" t="s">
        <v>94</v>
      </c>
      <c r="C61" s="85">
        <v>57359.55999999999</v>
      </c>
      <c r="D61" s="125">
        <f>((C20+(C20*-38%))/J7)</f>
        <v>263.42909037037032</v>
      </c>
      <c r="E61" s="128">
        <f t="shared" si="11"/>
        <v>306.1782718268642</v>
      </c>
      <c r="F61" s="128">
        <f>E61/5</f>
        <v>61.235654365372838</v>
      </c>
      <c r="G61" s="94">
        <f>(F61*D61)*5</f>
        <v>80656.263638522811</v>
      </c>
    </row>
    <row r="62" spans="2:12" ht="15.75" x14ac:dyDescent="0.25">
      <c r="B62" s="115" t="s">
        <v>95</v>
      </c>
      <c r="C62" s="85">
        <v>67611.089999999982</v>
      </c>
      <c r="D62" s="125">
        <f>((C21+(C21*-34%))/J8)</f>
        <v>365.76491311475399</v>
      </c>
      <c r="E62" s="128">
        <f t="shared" si="11"/>
        <v>177.68911797050941</v>
      </c>
      <c r="F62" s="128">
        <f>E62/5</f>
        <v>35.53782359410188</v>
      </c>
      <c r="G62" s="94">
        <f>(F62*D62)*5</f>
        <v>64992.444795920645</v>
      </c>
    </row>
    <row r="63" spans="2:12" ht="15.75" x14ac:dyDescent="0.25">
      <c r="B63" s="115" t="s">
        <v>82</v>
      </c>
      <c r="C63" s="85">
        <v>56968.500000000007</v>
      </c>
      <c r="D63" s="125">
        <f>((C22+(C22*-51%))/J9)</f>
        <v>287.77902061855673</v>
      </c>
      <c r="E63" s="128">
        <f t="shared" si="11"/>
        <v>241.27838861209861</v>
      </c>
      <c r="F63" s="128">
        <f>E63/5</f>
        <v>48.255677722419719</v>
      </c>
      <c r="G63" s="94">
        <f>(F63*D63)*5</f>
        <v>69434.858371213268</v>
      </c>
    </row>
    <row r="64" spans="2:12" ht="15.75" x14ac:dyDescent="0.25">
      <c r="B64" s="115" t="s">
        <v>96</v>
      </c>
      <c r="C64" s="85">
        <v>841.51</v>
      </c>
      <c r="D64" s="125">
        <f>((C23+(C23*-45%))/J10)</f>
        <v>115.70762499999999</v>
      </c>
      <c r="E64" s="128">
        <f t="shared" si="11"/>
        <v>103.64220890077063</v>
      </c>
      <c r="F64" s="128">
        <f>E64/4</f>
        <v>25.910552225192657</v>
      </c>
      <c r="G64" s="94">
        <f t="shared" ref="G64:G65" si="13">(F64*D64)*4</f>
        <v>11992.193841662029</v>
      </c>
    </row>
    <row r="65" spans="2:9" ht="15.75" x14ac:dyDescent="0.25">
      <c r="B65" s="115" t="s">
        <v>97</v>
      </c>
      <c r="C65" s="85">
        <v>2284.8900000000003</v>
      </c>
      <c r="D65" s="125">
        <f>((C24+(C24*-75%))/J11)</f>
        <v>81.603214285714301</v>
      </c>
      <c r="E65" s="128">
        <f t="shared" si="11"/>
        <v>158.49954842333543</v>
      </c>
      <c r="F65" s="128">
        <f>E65/4</f>
        <v>39.624887105833857</v>
      </c>
      <c r="G65" s="94">
        <f t="shared" si="13"/>
        <v>12934.072614178391</v>
      </c>
    </row>
    <row r="66" spans="2:9" x14ac:dyDescent="0.25">
      <c r="C66" s="81">
        <f>SUM(C57:C65)</f>
        <v>294894.23</v>
      </c>
      <c r="E66" s="129">
        <f>SUM(E57:E65)</f>
        <v>1532.8127826402715</v>
      </c>
      <c r="F66" s="129">
        <f>SUM(F57:F65)</f>
        <v>393.27665401406131</v>
      </c>
      <c r="G66" s="101">
        <f>SUM(G57:G65)</f>
        <v>396344.47613274498</v>
      </c>
    </row>
    <row r="69" spans="2:9" x14ac:dyDescent="0.25">
      <c r="B69" s="208" t="s">
        <v>287</v>
      </c>
      <c r="C69" s="208"/>
      <c r="D69" s="208"/>
      <c r="E69" s="208"/>
      <c r="F69" s="208"/>
      <c r="G69" s="208"/>
    </row>
    <row r="70" spans="2:9" x14ac:dyDescent="0.25">
      <c r="B70" s="114" t="s">
        <v>275</v>
      </c>
      <c r="C70" s="114" t="s">
        <v>276</v>
      </c>
      <c r="D70" s="126" t="s">
        <v>277</v>
      </c>
      <c r="E70" s="127" t="s">
        <v>278</v>
      </c>
      <c r="F70" s="127" t="s">
        <v>278</v>
      </c>
      <c r="G70" s="114" t="s">
        <v>198</v>
      </c>
    </row>
    <row r="71" spans="2:9" ht="15.75" x14ac:dyDescent="0.25">
      <c r="B71" s="115" t="s">
        <v>92</v>
      </c>
      <c r="C71" s="85">
        <v>10802.81</v>
      </c>
      <c r="D71" s="125">
        <f>((C16+(C16*-19.4%))/J3)</f>
        <v>280.87306000000001</v>
      </c>
      <c r="E71" s="128">
        <f>L3/D71</f>
        <v>60.428083474918701</v>
      </c>
      <c r="F71" s="128">
        <f>E71/1</f>
        <v>60.428083474918701</v>
      </c>
      <c r="G71" s="94">
        <f>E71*D71</f>
        <v>16972.62071553585</v>
      </c>
      <c r="I71" s="142"/>
    </row>
    <row r="72" spans="2:9" ht="15.75" x14ac:dyDescent="0.25">
      <c r="B72" s="115" t="s">
        <v>93</v>
      </c>
      <c r="C72" s="85">
        <v>53636.149999999994</v>
      </c>
      <c r="D72" s="125">
        <f>((C17+(C17*-21.5%))/J4)</f>
        <v>366.12502391304349</v>
      </c>
      <c r="E72" s="128">
        <f t="shared" ref="E72:E79" si="14">L4/D72</f>
        <v>162.79817806238316</v>
      </c>
      <c r="F72" s="128">
        <f>E72/4</f>
        <v>40.69954451559579</v>
      </c>
      <c r="G72" s="94">
        <f>(F72*D72)*4</f>
        <v>59604.486836089949</v>
      </c>
      <c r="I72" s="142"/>
    </row>
    <row r="73" spans="2:9" ht="15.75" x14ac:dyDescent="0.25">
      <c r="B73" s="115" t="s">
        <v>77</v>
      </c>
      <c r="C73" s="85">
        <v>28017.020000000004</v>
      </c>
      <c r="D73" s="125">
        <f>((C18+(C18*-62%))/J5)</f>
        <v>247.59226976744185</v>
      </c>
      <c r="E73" s="128">
        <f t="shared" si="14"/>
        <v>151.64927573071236</v>
      </c>
      <c r="F73" s="128">
        <f>E73/5</f>
        <v>30.329855146142471</v>
      </c>
      <c r="G73" s="94">
        <f>(F73*D73)*5</f>
        <v>37547.188386755704</v>
      </c>
      <c r="I73" s="142"/>
    </row>
    <row r="74" spans="2:9" ht="15.75" x14ac:dyDescent="0.25">
      <c r="B74" s="115" t="s">
        <v>78</v>
      </c>
      <c r="C74" s="85">
        <v>17372.7</v>
      </c>
      <c r="D74" s="125">
        <f>((C19+(C19*-35.4%))/J6)</f>
        <v>287.76318461538466</v>
      </c>
      <c r="E74" s="128">
        <f t="shared" si="14"/>
        <v>146.68431957091173</v>
      </c>
      <c r="F74" s="128">
        <f>E74/4</f>
        <v>36.671079892727931</v>
      </c>
      <c r="G74" s="94">
        <f t="shared" ref="G74" si="15">(F74*D74)*4</f>
        <v>42210.346932866349</v>
      </c>
      <c r="I74" s="142"/>
    </row>
    <row r="75" spans="2:9" ht="15.75" x14ac:dyDescent="0.25">
      <c r="B75" s="115" t="s">
        <v>94</v>
      </c>
      <c r="C75" s="85">
        <v>57359.55999999999</v>
      </c>
      <c r="D75" s="125">
        <f>((C20+(C20*-41.5%))/J7)</f>
        <v>248.55809333333332</v>
      </c>
      <c r="E75" s="128">
        <f t="shared" si="14"/>
        <v>324.49662997035176</v>
      </c>
      <c r="F75" s="128">
        <f>E75/5</f>
        <v>64.899325994070352</v>
      </c>
      <c r="G75" s="94">
        <f>(F75*D75)*5</f>
        <v>80656.263638522811</v>
      </c>
      <c r="I75" s="142"/>
    </row>
    <row r="76" spans="2:9" ht="15.75" x14ac:dyDescent="0.25">
      <c r="B76" s="115" t="s">
        <v>95</v>
      </c>
      <c r="C76" s="85">
        <v>67611.089999999982</v>
      </c>
      <c r="D76" s="125">
        <f>((C21+(C21*-31.8%))/J8)</f>
        <v>377.95707688524584</v>
      </c>
      <c r="E76" s="128">
        <f t="shared" si="14"/>
        <v>171.95721093920264</v>
      </c>
      <c r="F76" s="128">
        <f>E76/5</f>
        <v>34.391442187840525</v>
      </c>
      <c r="G76" s="94">
        <f>(F76*D76)*5</f>
        <v>64992.444795920645</v>
      </c>
      <c r="I76" s="142"/>
    </row>
    <row r="77" spans="2:9" ht="15.75" x14ac:dyDescent="0.25">
      <c r="B77" s="115" t="s">
        <v>82</v>
      </c>
      <c r="C77" s="85">
        <v>56968.500000000007</v>
      </c>
      <c r="D77" s="125">
        <f>((C22+(C22*-51.4%))/J9)</f>
        <v>285.42980412371139</v>
      </c>
      <c r="E77" s="128">
        <f t="shared" si="14"/>
        <v>243.26421897104589</v>
      </c>
      <c r="F77" s="128">
        <f>E77/5</f>
        <v>48.652843794209176</v>
      </c>
      <c r="G77" s="94">
        <f>(F77*D77)*5</f>
        <v>69434.858371213253</v>
      </c>
      <c r="I77" s="142"/>
    </row>
    <row r="78" spans="2:9" ht="15.75" x14ac:dyDescent="0.25">
      <c r="B78" s="115" t="s">
        <v>96</v>
      </c>
      <c r="C78" s="85">
        <v>841.51</v>
      </c>
      <c r="D78" s="125">
        <f>((C23+(C23*-62.5%))/J10)</f>
        <v>78.891562499999992</v>
      </c>
      <c r="E78" s="128">
        <f t="shared" si="14"/>
        <v>152.0085730544636</v>
      </c>
      <c r="F78" s="128">
        <f>E78/4</f>
        <v>38.002143263615899</v>
      </c>
      <c r="G78" s="94">
        <f t="shared" ref="G78:G79" si="16">(F78*D78)*4</f>
        <v>11992.193841662029</v>
      </c>
      <c r="I78" s="142"/>
    </row>
    <row r="79" spans="2:9" ht="15.75" x14ac:dyDescent="0.25">
      <c r="B79" s="115" t="s">
        <v>97</v>
      </c>
      <c r="C79" s="85">
        <v>2284.8900000000003</v>
      </c>
      <c r="D79" s="125">
        <f>((C24+(C24*-75%))/J11)</f>
        <v>81.603214285714301</v>
      </c>
      <c r="E79" s="128">
        <f t="shared" si="14"/>
        <v>158.49954842333543</v>
      </c>
      <c r="F79" s="128">
        <f>E79/4</f>
        <v>39.624887105833857</v>
      </c>
      <c r="G79" s="94">
        <f t="shared" si="16"/>
        <v>12934.072614178391</v>
      </c>
      <c r="I79" s="142"/>
    </row>
    <row r="80" spans="2:9" x14ac:dyDescent="0.25">
      <c r="C80" s="81">
        <f>SUM(C71:C79)</f>
        <v>294894.23</v>
      </c>
      <c r="E80" s="129">
        <f>SUM(E71:E79)</f>
        <v>1571.7860381973253</v>
      </c>
      <c r="F80" s="129">
        <f>SUM(F71:F79)</f>
        <v>393.69920537495472</v>
      </c>
      <c r="G80" s="101">
        <f>SUM(G71:G79)</f>
        <v>396344.47613274498</v>
      </c>
    </row>
  </sheetData>
  <mergeCells count="9">
    <mergeCell ref="H43:L45"/>
    <mergeCell ref="H47:L49"/>
    <mergeCell ref="B55:G55"/>
    <mergeCell ref="B69:G69"/>
    <mergeCell ref="B5:C5"/>
    <mergeCell ref="B12:C12"/>
    <mergeCell ref="B14:G14"/>
    <mergeCell ref="B28:G28"/>
    <mergeCell ref="B41:G41"/>
  </mergeCells>
  <pageMargins left="0.51181102362204722" right="0.51181102362204722" top="0.78740157480314965" bottom="0.78740157480314965" header="0.31496062992125984" footer="0.31496062992125984"/>
  <pageSetup paperSize="9" scale="89" orientation="landscape" r:id="rId1"/>
  <rowBreaks count="1" manualBreakCount="1">
    <brk id="40" min="1" max="14" man="1"/>
  </rowBreaks>
  <ignoredErrors>
    <ignoredError sqref="F18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80"/>
  <sheetViews>
    <sheetView zoomScale="85" zoomScaleNormal="85" workbookViewId="0"/>
  </sheetViews>
  <sheetFormatPr defaultRowHeight="15" x14ac:dyDescent="0.25"/>
  <cols>
    <col min="1" max="1" width="3.42578125" customWidth="1"/>
    <col min="2" max="2" width="31.5703125" bestFit="1" customWidth="1"/>
    <col min="3" max="3" width="15.140625" style="82" bestFit="1" customWidth="1"/>
    <col min="4" max="4" width="16" style="82" bestFit="1" customWidth="1"/>
    <col min="5" max="5" width="6.42578125" bestFit="1" customWidth="1"/>
    <col min="6" max="6" width="4.28515625" bestFit="1" customWidth="1"/>
    <col min="7" max="7" width="26" bestFit="1" customWidth="1"/>
    <col min="8" max="8" width="15.140625" style="82" bestFit="1" customWidth="1"/>
    <col min="9" max="9" width="13.85546875" bestFit="1" customWidth="1"/>
    <col min="10" max="10" width="8.42578125" bestFit="1" customWidth="1"/>
    <col min="11" max="14" width="15.140625" bestFit="1" customWidth="1"/>
    <col min="15" max="15" width="4.7109375" bestFit="1" customWidth="1"/>
  </cols>
  <sheetData>
    <row r="1" spans="2:15" x14ac:dyDescent="0.25">
      <c r="C1" s="83" t="s">
        <v>88</v>
      </c>
      <c r="D1" s="83" t="s">
        <v>89</v>
      </c>
    </row>
    <row r="2" spans="2:15" x14ac:dyDescent="0.25">
      <c r="B2" s="106" t="s">
        <v>87</v>
      </c>
      <c r="C2" s="107">
        <v>27802.49</v>
      </c>
      <c r="D2" s="107">
        <f>C2/6</f>
        <v>4633.7483333333339</v>
      </c>
      <c r="G2" s="114" t="s">
        <v>275</v>
      </c>
      <c r="H2" s="114" t="s">
        <v>202</v>
      </c>
      <c r="I2" s="114" t="s">
        <v>203</v>
      </c>
      <c r="J2" s="114" t="s">
        <v>235</v>
      </c>
      <c r="K2" s="114" t="s">
        <v>201</v>
      </c>
      <c r="L2" s="114" t="s">
        <v>198</v>
      </c>
      <c r="M2" s="114" t="s">
        <v>276</v>
      </c>
      <c r="N2" s="114" t="s">
        <v>288</v>
      </c>
      <c r="O2" s="114" t="s">
        <v>281</v>
      </c>
    </row>
    <row r="3" spans="2:15" ht="15.75" x14ac:dyDescent="0.25">
      <c r="B3" t="s">
        <v>90</v>
      </c>
      <c r="C3" s="108">
        <v>181272.25</v>
      </c>
      <c r="D3" s="108">
        <f>C3/6</f>
        <v>30212.041666666668</v>
      </c>
      <c r="G3" s="115" t="s">
        <v>92</v>
      </c>
      <c r="H3" s="85">
        <v>8822.285453766237</v>
      </c>
      <c r="I3" s="92">
        <v>1485.8380000000002</v>
      </c>
      <c r="J3" s="130">
        <v>31</v>
      </c>
      <c r="K3" s="92">
        <f>J3*$D$6</f>
        <v>6664.4972617696149</v>
      </c>
      <c r="L3" s="94">
        <f>H3+I3+K3</f>
        <v>16972.62071553585</v>
      </c>
      <c r="M3" s="138">
        <v>10802.81</v>
      </c>
      <c r="N3" s="139">
        <f>(M3-(M3*O3))-L3</f>
        <v>-6315.8957155358494</v>
      </c>
      <c r="O3" s="134">
        <v>1.3522870438339654E-2</v>
      </c>
    </row>
    <row r="4" spans="2:15" ht="15.75" x14ac:dyDescent="0.25">
      <c r="B4" s="42" t="s">
        <v>91</v>
      </c>
      <c r="C4" s="109"/>
      <c r="D4" s="109">
        <f>Planilha3!E81+Planilha3!E82-L19</f>
        <v>93929.49579999999</v>
      </c>
      <c r="G4" s="115" t="s">
        <v>93</v>
      </c>
      <c r="H4" s="85">
        <v>33395.513832751043</v>
      </c>
      <c r="I4" s="92">
        <v>1485.8380000000002</v>
      </c>
      <c r="J4" s="130">
        <v>115</v>
      </c>
      <c r="K4" s="92">
        <f t="shared" ref="K4:K12" si="0">J4*$D$6</f>
        <v>24723.135003338895</v>
      </c>
      <c r="L4" s="94">
        <f t="shared" ref="L4:L12" si="1">H4+I4+K4</f>
        <v>59604.486836089942</v>
      </c>
      <c r="M4" s="138">
        <v>53636.149999999994</v>
      </c>
      <c r="N4" s="139">
        <f t="shared" ref="N4:N11" si="2">(M4-(M4*O4))-L4</f>
        <v>-9464.5368360899447</v>
      </c>
      <c r="O4" s="134">
        <v>6.5183649460298712E-2</v>
      </c>
    </row>
    <row r="5" spans="2:15" ht="15.75" x14ac:dyDescent="0.25">
      <c r="B5" s="210" t="s">
        <v>198</v>
      </c>
      <c r="C5" s="210"/>
      <c r="D5" s="81">
        <f>SUM(D2:D4)</f>
        <v>128775.28579999998</v>
      </c>
      <c r="G5" s="115" t="s">
        <v>77</v>
      </c>
      <c r="H5" s="85">
        <v>22912.669533333334</v>
      </c>
      <c r="I5" s="92">
        <f>3436.4228+L18</f>
        <v>5390.2161999999998</v>
      </c>
      <c r="J5" s="130">
        <v>43</v>
      </c>
      <c r="K5" s="92">
        <f t="shared" si="0"/>
        <v>9244.30265342237</v>
      </c>
      <c r="L5" s="94">
        <f t="shared" si="1"/>
        <v>37547.188386755704</v>
      </c>
      <c r="M5" s="138">
        <v>28017.020000000004</v>
      </c>
      <c r="N5" s="139">
        <f t="shared" si="2"/>
        <v>-13994.170053422367</v>
      </c>
      <c r="O5" s="134">
        <v>0.15933177999182874</v>
      </c>
    </row>
    <row r="6" spans="2:15" ht="15.75" x14ac:dyDescent="0.25">
      <c r="B6" s="5" t="s">
        <v>204</v>
      </c>
      <c r="C6" s="110" t="s">
        <v>279</v>
      </c>
      <c r="D6" s="111">
        <f>D5/C6</f>
        <v>214.98378263772952</v>
      </c>
      <c r="G6" s="115" t="s">
        <v>78</v>
      </c>
      <c r="H6" s="85">
        <v>30705.719609994903</v>
      </c>
      <c r="I6" s="92">
        <v>3120.2598000000003</v>
      </c>
      <c r="J6" s="130">
        <v>39</v>
      </c>
      <c r="K6" s="92">
        <f t="shared" si="0"/>
        <v>8384.367522871451</v>
      </c>
      <c r="L6" s="94">
        <f t="shared" si="1"/>
        <v>42210.346932866356</v>
      </c>
      <c r="M6" s="138">
        <v>17372.7</v>
      </c>
      <c r="N6" s="139">
        <f t="shared" si="2"/>
        <v>-27686.755266199689</v>
      </c>
      <c r="O6" s="134">
        <v>0.16399916727586</v>
      </c>
    </row>
    <row r="7" spans="2:15" ht="15.75" x14ac:dyDescent="0.25">
      <c r="G7" s="115" t="s">
        <v>94</v>
      </c>
      <c r="H7" s="85">
        <v>47869.319882429336</v>
      </c>
      <c r="I7" s="92">
        <v>3764.1331</v>
      </c>
      <c r="J7" s="130">
        <v>135</v>
      </c>
      <c r="K7" s="92">
        <f t="shared" si="0"/>
        <v>29022.810656093487</v>
      </c>
      <c r="L7" s="94">
        <f t="shared" si="1"/>
        <v>80656.263638522825</v>
      </c>
      <c r="M7" s="138">
        <v>57359.55999999999</v>
      </c>
      <c r="N7" s="139">
        <f t="shared" si="2"/>
        <v>-33903.763638522825</v>
      </c>
      <c r="O7" s="134">
        <v>0.18492226927821614</v>
      </c>
    </row>
    <row r="8" spans="2:15" ht="15.75" x14ac:dyDescent="0.25">
      <c r="B8" s="106" t="s">
        <v>270</v>
      </c>
      <c r="C8" s="107"/>
      <c r="D8" s="107">
        <f>Planilha3!F81+Planilha3!F82</f>
        <v>26245.7258</v>
      </c>
      <c r="G8" s="115" t="s">
        <v>95</v>
      </c>
      <c r="H8" s="85">
        <v>35000.290214117646</v>
      </c>
      <c r="I8" s="92">
        <v>3764.1331</v>
      </c>
      <c r="J8" s="130">
        <v>122</v>
      </c>
      <c r="K8" s="92">
        <f t="shared" si="0"/>
        <v>26228.021481803</v>
      </c>
      <c r="L8" s="94">
        <f t="shared" si="1"/>
        <v>64992.444795920645</v>
      </c>
      <c r="M8" s="138">
        <v>67611.089999999982</v>
      </c>
      <c r="N8" s="139">
        <f t="shared" si="2"/>
        <v>-6030.4281292539963</v>
      </c>
      <c r="O8" s="134">
        <v>0.12792388546514094</v>
      </c>
    </row>
    <row r="9" spans="2:15" ht="15.75" x14ac:dyDescent="0.25">
      <c r="B9" s="42" t="s">
        <v>271</v>
      </c>
      <c r="C9" s="109"/>
      <c r="D9" s="109">
        <f>Planilha3!D81+Planilha3!D82</f>
        <v>243980.68740000005</v>
      </c>
      <c r="G9" s="115" t="s">
        <v>82</v>
      </c>
      <c r="H9" s="85">
        <f>47187.1892553535-5000</f>
        <v>42187.1892553535</v>
      </c>
      <c r="I9" s="92">
        <f>3436.4228+L17</f>
        <v>5394.2421999999997</v>
      </c>
      <c r="J9" s="130">
        <v>97</v>
      </c>
      <c r="K9" s="92">
        <f t="shared" si="0"/>
        <v>20853.426915859764</v>
      </c>
      <c r="L9" s="94">
        <f t="shared" si="1"/>
        <v>68434.858371213268</v>
      </c>
      <c r="M9" s="138">
        <v>56968.500000000007</v>
      </c>
      <c r="N9" s="139">
        <f t="shared" si="2"/>
        <v>-20219.688371213262</v>
      </c>
      <c r="O9" s="134">
        <v>0.15365210598839707</v>
      </c>
    </row>
    <row r="10" spans="2:15" ht="15.75" x14ac:dyDescent="0.25">
      <c r="D10" s="81">
        <f>SUM(D8:D9)</f>
        <v>270226.41320000007</v>
      </c>
      <c r="G10" s="115" t="s">
        <v>96</v>
      </c>
      <c r="H10" s="85">
        <v>7695.8359111111113</v>
      </c>
      <c r="I10" s="92">
        <v>3436.4227999999998</v>
      </c>
      <c r="J10" s="130">
        <v>4</v>
      </c>
      <c r="K10" s="92">
        <f t="shared" si="0"/>
        <v>859.93513055091807</v>
      </c>
      <c r="L10" s="94">
        <f t="shared" si="1"/>
        <v>11992.193841662029</v>
      </c>
      <c r="M10" s="138">
        <v>841.51</v>
      </c>
      <c r="N10" s="139">
        <f t="shared" si="2"/>
        <v>-11432.583841662028</v>
      </c>
      <c r="O10" s="134">
        <v>0.33499304821095416</v>
      </c>
    </row>
    <row r="11" spans="2:15" ht="15.75" x14ac:dyDescent="0.25">
      <c r="G11" s="115" t="s">
        <v>97</v>
      </c>
      <c r="H11" s="85">
        <v>7992.7633357142849</v>
      </c>
      <c r="I11" s="92">
        <v>3436.4227999999998</v>
      </c>
      <c r="J11" s="130">
        <v>7</v>
      </c>
      <c r="K11" s="92">
        <f t="shared" si="0"/>
        <v>1504.8864784641066</v>
      </c>
      <c r="L11" s="94">
        <f t="shared" si="1"/>
        <v>12934.072614178391</v>
      </c>
      <c r="M11" s="138">
        <v>2284.8900000000003</v>
      </c>
      <c r="N11" s="139">
        <f t="shared" si="2"/>
        <v>-11557.059280845056</v>
      </c>
      <c r="O11" s="134">
        <v>0.39733933216332801</v>
      </c>
    </row>
    <row r="12" spans="2:15" ht="15.75" x14ac:dyDescent="0.25">
      <c r="B12" s="211" t="s">
        <v>272</v>
      </c>
      <c r="C12" s="211"/>
      <c r="D12" s="112">
        <f>D10+D5</f>
        <v>399001.69900000002</v>
      </c>
      <c r="G12" s="115" t="s">
        <v>98</v>
      </c>
      <c r="H12" s="85">
        <v>2399.1003714285716</v>
      </c>
      <c r="I12" s="92">
        <v>2971.6760000000004</v>
      </c>
      <c r="J12" s="130">
        <v>6</v>
      </c>
      <c r="K12" s="92">
        <f t="shared" si="0"/>
        <v>1289.9026958263771</v>
      </c>
      <c r="L12" s="94">
        <f t="shared" si="1"/>
        <v>6660.6790672549487</v>
      </c>
      <c r="M12" s="138">
        <f>6*238</f>
        <v>1428</v>
      </c>
      <c r="N12" s="139">
        <f t="shared" ref="N12" si="3">M12-L12</f>
        <v>-5232.6790672549487</v>
      </c>
    </row>
    <row r="13" spans="2:15" x14ac:dyDescent="0.25">
      <c r="H13" s="81">
        <f t="shared" ref="H13:N13" si="4">SUM(H3:H12)</f>
        <v>238980.68739999997</v>
      </c>
      <c r="I13" s="81">
        <f t="shared" si="4"/>
        <v>34249.182000000001</v>
      </c>
      <c r="J13" s="131">
        <f t="shared" si="4"/>
        <v>599</v>
      </c>
      <c r="K13" s="81">
        <f t="shared" si="4"/>
        <v>128775.28579999997</v>
      </c>
      <c r="L13" s="81">
        <f t="shared" si="4"/>
        <v>402005.15519999992</v>
      </c>
      <c r="M13" s="81">
        <f t="shared" si="4"/>
        <v>296322.23</v>
      </c>
      <c r="N13" s="140">
        <f t="shared" si="4"/>
        <v>-145837.56019999995</v>
      </c>
    </row>
    <row r="14" spans="2:15" s="116" customFormat="1" x14ac:dyDescent="0.25">
      <c r="B14" s="208" t="s">
        <v>283</v>
      </c>
      <c r="C14" s="208"/>
      <c r="D14" s="208"/>
      <c r="E14" s="208"/>
      <c r="F14" s="208"/>
      <c r="G14" s="208"/>
      <c r="H14" s="117"/>
    </row>
    <row r="15" spans="2:15" s="116" customFormat="1" x14ac:dyDescent="0.25">
      <c r="B15" s="114" t="s">
        <v>275</v>
      </c>
      <c r="C15" s="114" t="s">
        <v>276</v>
      </c>
      <c r="D15" s="126" t="s">
        <v>277</v>
      </c>
      <c r="E15" s="127" t="s">
        <v>278</v>
      </c>
      <c r="F15" s="127"/>
      <c r="G15" s="114" t="s">
        <v>198</v>
      </c>
      <c r="H15" s="122"/>
      <c r="J15" s="124"/>
      <c r="K15" s="161"/>
      <c r="L15" s="162"/>
    </row>
    <row r="16" spans="2:15" s="116" customFormat="1" ht="15.75" x14ac:dyDescent="0.25">
      <c r="B16" s="115" t="s">
        <v>92</v>
      </c>
      <c r="C16" s="85">
        <v>10802.81</v>
      </c>
      <c r="D16" s="125">
        <f t="shared" ref="D16:D25" si="5">((C16+(C16*-15%))/J3)</f>
        <v>296.20608064516125</v>
      </c>
      <c r="E16" s="128">
        <f>L3/D16</f>
        <v>57.300041506805272</v>
      </c>
      <c r="F16" s="128">
        <f>E16/1</f>
        <v>57.300041506805272</v>
      </c>
      <c r="G16" s="94">
        <f>E16*D16</f>
        <v>16972.62071553585</v>
      </c>
      <c r="H16" s="132"/>
      <c r="I16" s="117"/>
      <c r="J16" s="119"/>
      <c r="K16" s="163" t="s">
        <v>80</v>
      </c>
      <c r="L16" s="164">
        <f>(1762.4+1591.57)+((1762.4+1591.57)*22%)</f>
        <v>4091.8434000000002</v>
      </c>
    </row>
    <row r="17" spans="2:12" s="116" customFormat="1" ht="15.75" x14ac:dyDescent="0.25">
      <c r="B17" s="115" t="s">
        <v>93</v>
      </c>
      <c r="C17" s="85">
        <v>53636.149999999994</v>
      </c>
      <c r="D17" s="125">
        <f t="shared" si="5"/>
        <v>396.44110869565213</v>
      </c>
      <c r="E17" s="128">
        <f t="shared" ref="E17:E25" si="6">L4/D17</f>
        <v>150.34890562231857</v>
      </c>
      <c r="F17" s="128">
        <f>E17/4</f>
        <v>37.587226405579642</v>
      </c>
      <c r="G17" s="94">
        <f t="shared" ref="G17:G25" si="7">E17*D17</f>
        <v>59604.486836089942</v>
      </c>
      <c r="H17" s="132"/>
      <c r="I17" s="117"/>
      <c r="J17" s="119"/>
      <c r="K17" s="163" t="s">
        <v>295</v>
      </c>
      <c r="L17" s="164">
        <f>1604.77+(1604.77*22%)</f>
        <v>1957.8193999999999</v>
      </c>
    </row>
    <row r="18" spans="2:12" s="116" customFormat="1" ht="15.75" x14ac:dyDescent="0.25">
      <c r="B18" s="115" t="s">
        <v>77</v>
      </c>
      <c r="C18" s="85">
        <v>28017.020000000004</v>
      </c>
      <c r="D18" s="125">
        <f t="shared" si="5"/>
        <v>553.8248139534885</v>
      </c>
      <c r="E18" s="128">
        <f t="shared" si="6"/>
        <v>67.796146797259624</v>
      </c>
      <c r="F18" s="128">
        <f>E18/5</f>
        <v>13.559229359451924</v>
      </c>
      <c r="G18" s="94">
        <f t="shared" si="7"/>
        <v>37547.188386755704</v>
      </c>
      <c r="H18" s="132"/>
      <c r="I18" s="117"/>
      <c r="J18" s="137"/>
      <c r="K18" s="163" t="s">
        <v>296</v>
      </c>
      <c r="L18" s="165">
        <f>1601.47+(1601.47*22%)</f>
        <v>1953.7934</v>
      </c>
    </row>
    <row r="19" spans="2:12" s="116" customFormat="1" ht="15.75" x14ac:dyDescent="0.25">
      <c r="B19" s="115" t="s">
        <v>78</v>
      </c>
      <c r="C19" s="85">
        <v>17372.7</v>
      </c>
      <c r="D19" s="125">
        <f t="shared" si="5"/>
        <v>378.63576923076926</v>
      </c>
      <c r="E19" s="128">
        <f t="shared" si="6"/>
        <v>111.48008287389293</v>
      </c>
      <c r="F19" s="128">
        <f>E19/4</f>
        <v>27.870020718473231</v>
      </c>
      <c r="G19" s="94">
        <f t="shared" si="7"/>
        <v>42210.346932866356</v>
      </c>
      <c r="H19" s="168"/>
      <c r="I19" s="117"/>
      <c r="J19" s="136"/>
      <c r="K19" s="163"/>
      <c r="L19" s="166">
        <f>SUM(L16:L18)</f>
        <v>8003.4562000000005</v>
      </c>
    </row>
    <row r="20" spans="2:12" s="116" customFormat="1" ht="15.75" x14ac:dyDescent="0.25">
      <c r="B20" s="115" t="s">
        <v>94</v>
      </c>
      <c r="C20" s="85">
        <v>57359.55999999999</v>
      </c>
      <c r="D20" s="125">
        <f t="shared" si="5"/>
        <v>361.15278518518511</v>
      </c>
      <c r="E20" s="128">
        <f t="shared" si="6"/>
        <v>223.33003356783038</v>
      </c>
      <c r="F20" s="128">
        <f>E20/5</f>
        <v>44.666006713566077</v>
      </c>
      <c r="G20" s="94">
        <f t="shared" si="7"/>
        <v>80656.263638522825</v>
      </c>
      <c r="H20" s="132"/>
      <c r="I20" s="117"/>
      <c r="J20" s="119"/>
      <c r="K20" s="164"/>
      <c r="L20" s="167"/>
    </row>
    <row r="21" spans="2:12" s="116" customFormat="1" ht="15.75" x14ac:dyDescent="0.25">
      <c r="B21" s="115" t="s">
        <v>95</v>
      </c>
      <c r="C21" s="85">
        <v>67611.089999999982</v>
      </c>
      <c r="D21" s="125">
        <f t="shared" si="5"/>
        <v>471.06087295081954</v>
      </c>
      <c r="E21" s="128">
        <f t="shared" si="6"/>
        <v>137.97037395357199</v>
      </c>
      <c r="F21" s="128">
        <f>E21/5</f>
        <v>27.594074790714398</v>
      </c>
      <c r="G21" s="94">
        <f t="shared" si="7"/>
        <v>64992.444795920637</v>
      </c>
      <c r="H21" s="132"/>
      <c r="I21" s="117"/>
      <c r="J21" s="119"/>
      <c r="K21" s="164"/>
      <c r="L21" s="167"/>
    </row>
    <row r="22" spans="2:12" s="116" customFormat="1" ht="15.75" x14ac:dyDescent="0.25">
      <c r="B22" s="115" t="s">
        <v>82</v>
      </c>
      <c r="C22" s="85">
        <v>56968.500000000007</v>
      </c>
      <c r="D22" s="125">
        <f t="shared" si="5"/>
        <v>499.20850515463923</v>
      </c>
      <c r="E22" s="128">
        <f t="shared" si="6"/>
        <v>137.08672361264013</v>
      </c>
      <c r="F22" s="128">
        <f>E22/5</f>
        <v>27.417344722528025</v>
      </c>
      <c r="G22" s="94">
        <f t="shared" si="7"/>
        <v>68434.858371213268</v>
      </c>
      <c r="H22" s="132"/>
      <c r="I22" s="117"/>
      <c r="J22" s="119"/>
      <c r="K22" s="119"/>
      <c r="L22" s="121"/>
    </row>
    <row r="23" spans="2:12" s="116" customFormat="1" ht="15.75" x14ac:dyDescent="0.25">
      <c r="B23" s="115" t="s">
        <v>96</v>
      </c>
      <c r="C23" s="85">
        <v>841.51</v>
      </c>
      <c r="D23" s="125">
        <f t="shared" si="5"/>
        <v>178.820875</v>
      </c>
      <c r="E23" s="128">
        <f t="shared" si="6"/>
        <v>67.062605759322167</v>
      </c>
      <c r="F23" s="128">
        <f>E23/4</f>
        <v>16.765651439830542</v>
      </c>
      <c r="G23" s="94">
        <f t="shared" si="7"/>
        <v>11992.193841662029</v>
      </c>
      <c r="H23" s="132"/>
      <c r="I23" s="117"/>
      <c r="J23" s="119"/>
      <c r="K23" s="119"/>
      <c r="L23" s="121"/>
    </row>
    <row r="24" spans="2:12" s="116" customFormat="1" ht="15.75" x14ac:dyDescent="0.25">
      <c r="B24" s="115" t="s">
        <v>97</v>
      </c>
      <c r="C24" s="85">
        <v>2284.8900000000003</v>
      </c>
      <c r="D24" s="125">
        <f t="shared" si="5"/>
        <v>277.45092857142862</v>
      </c>
      <c r="E24" s="128">
        <f t="shared" si="6"/>
        <v>46.617514242157476</v>
      </c>
      <c r="F24" s="128">
        <f>E24/4</f>
        <v>11.654378560539369</v>
      </c>
      <c r="G24" s="94">
        <f t="shared" si="7"/>
        <v>12934.072614178391</v>
      </c>
      <c r="H24" s="132"/>
      <c r="I24" s="117"/>
      <c r="J24" s="119"/>
      <c r="K24" s="119"/>
      <c r="L24" s="121"/>
    </row>
    <row r="25" spans="2:12" s="116" customFormat="1" ht="15.75" x14ac:dyDescent="0.25">
      <c r="B25" s="115" t="s">
        <v>98</v>
      </c>
      <c r="C25" s="85">
        <f>6*238</f>
        <v>1428</v>
      </c>
      <c r="D25" s="125">
        <f t="shared" si="5"/>
        <v>202.29999999999998</v>
      </c>
      <c r="E25" s="128">
        <f t="shared" si="6"/>
        <v>32.924760589495548</v>
      </c>
      <c r="F25" s="128">
        <f>E25/2</f>
        <v>16.462380294747774</v>
      </c>
      <c r="G25" s="94">
        <f t="shared" si="7"/>
        <v>6660.6790672549487</v>
      </c>
      <c r="H25" s="132"/>
      <c r="I25" s="117"/>
      <c r="J25" s="119"/>
      <c r="K25" s="119"/>
      <c r="L25" s="121"/>
    </row>
    <row r="26" spans="2:12" s="116" customFormat="1" x14ac:dyDescent="0.25">
      <c r="B26"/>
      <c r="C26" s="81">
        <f>SUM(C16:C25)</f>
        <v>296322.23</v>
      </c>
      <c r="D26" s="117"/>
      <c r="E26" s="129">
        <f>SUM(E16:E25)</f>
        <v>1031.917188525294</v>
      </c>
      <c r="F26" s="129">
        <f>SUM(F16:F25)</f>
        <v>280.87635451223628</v>
      </c>
      <c r="G26" s="101">
        <f>SUM(G16:G25)</f>
        <v>402005.15519999992</v>
      </c>
      <c r="H26" s="122"/>
      <c r="I26" s="122"/>
      <c r="J26" s="119"/>
      <c r="K26" s="122"/>
      <c r="L26" s="122"/>
    </row>
    <row r="27" spans="2:12" s="116" customFormat="1" x14ac:dyDescent="0.25">
      <c r="B27"/>
      <c r="C27" s="81"/>
      <c r="D27" s="117"/>
      <c r="E27" s="117"/>
      <c r="F27" s="117"/>
      <c r="G27" s="101"/>
      <c r="H27" s="122"/>
      <c r="I27" s="122"/>
      <c r="J27" s="119"/>
      <c r="K27" s="122"/>
      <c r="L27" s="122"/>
    </row>
    <row r="28" spans="2:12" s="116" customFormat="1" x14ac:dyDescent="0.25">
      <c r="B28" s="208" t="s">
        <v>284</v>
      </c>
      <c r="C28" s="208"/>
      <c r="D28" s="208"/>
      <c r="E28" s="208"/>
      <c r="F28" s="208"/>
      <c r="G28" s="208"/>
      <c r="H28" s="117"/>
    </row>
    <row r="29" spans="2:12" x14ac:dyDescent="0.25">
      <c r="B29" s="114" t="s">
        <v>275</v>
      </c>
      <c r="C29" s="114" t="s">
        <v>280</v>
      </c>
      <c r="D29" s="126" t="s">
        <v>277</v>
      </c>
      <c r="E29" s="114" t="s">
        <v>281</v>
      </c>
      <c r="F29" s="127" t="s">
        <v>278</v>
      </c>
      <c r="G29" s="114" t="s">
        <v>198</v>
      </c>
    </row>
    <row r="30" spans="2:12" ht="15.75" x14ac:dyDescent="0.25">
      <c r="B30" s="115" t="s">
        <v>92</v>
      </c>
      <c r="C30" s="133">
        <v>2</v>
      </c>
      <c r="D30" s="125">
        <f>((C16+(C16*-2.4%)))/J3</f>
        <v>340.11427612903225</v>
      </c>
      <c r="E30" s="141">
        <v>1.3522870438339654E-2</v>
      </c>
      <c r="F30" s="128">
        <f>L3/D30</f>
        <v>49.902700082770984</v>
      </c>
      <c r="G30" s="94">
        <f>F30*D30</f>
        <v>16972.62071553585</v>
      </c>
    </row>
    <row r="31" spans="2:12" ht="15.75" x14ac:dyDescent="0.25">
      <c r="B31" s="115" t="s">
        <v>93</v>
      </c>
      <c r="C31" s="133">
        <v>10</v>
      </c>
      <c r="D31" s="125">
        <f>((C17+(C17*-7.5%))/J4)</f>
        <v>431.42120652173907</v>
      </c>
      <c r="E31" s="141">
        <v>6.5183649460298712E-2</v>
      </c>
      <c r="F31" s="128">
        <f>(L4/D31)/4</f>
        <v>34.539613453775893</v>
      </c>
      <c r="G31" s="94">
        <f>(F31*D31)*4</f>
        <v>59604.486836089949</v>
      </c>
    </row>
    <row r="32" spans="2:12" ht="15.75" x14ac:dyDescent="0.25">
      <c r="B32" s="115" t="s">
        <v>77</v>
      </c>
      <c r="C32" s="133">
        <v>12</v>
      </c>
      <c r="D32" s="125">
        <f>((C18+(C18*-16.9%))/J5)</f>
        <v>541.44520046511639</v>
      </c>
      <c r="E32" s="141">
        <v>0.15933177999182874</v>
      </c>
      <c r="F32" s="128">
        <f>(L5/D32)/5</f>
        <v>13.869247840594628</v>
      </c>
      <c r="G32" s="94">
        <f>(F32*D32)*5</f>
        <v>37547.188386755704</v>
      </c>
    </row>
    <row r="33" spans="2:12" ht="15.75" x14ac:dyDescent="0.25">
      <c r="B33" s="115" t="s">
        <v>78</v>
      </c>
      <c r="C33" s="133">
        <v>7</v>
      </c>
      <c r="D33" s="125">
        <f>((C19+(C19*-17.4%))/J6)</f>
        <v>367.94487692307695</v>
      </c>
      <c r="E33" s="141">
        <v>0.16399916727586</v>
      </c>
      <c r="F33" s="128">
        <f>(L6/D33)/4</f>
        <v>28.679803402787226</v>
      </c>
      <c r="G33" s="94">
        <f t="shared" ref="G33:G38" si="8">(F33*D33)*4</f>
        <v>42210.346932866356</v>
      </c>
    </row>
    <row r="34" spans="2:12" ht="15.75" x14ac:dyDescent="0.25">
      <c r="B34" s="115" t="s">
        <v>94</v>
      </c>
      <c r="C34" s="133">
        <v>38</v>
      </c>
      <c r="D34" s="125">
        <f>((C20+(C20*-19.5%))/J7)</f>
        <v>342.0329318518518</v>
      </c>
      <c r="E34" s="141">
        <v>0.18492226927821614</v>
      </c>
      <c r="F34" s="128">
        <f>(L7/D34)/5</f>
        <v>47.16286423171573</v>
      </c>
      <c r="G34" s="94">
        <f>(F34*D34)*5</f>
        <v>80656.263638522825</v>
      </c>
    </row>
    <row r="35" spans="2:12" ht="15.75" x14ac:dyDescent="0.25">
      <c r="B35" s="115" t="s">
        <v>95</v>
      </c>
      <c r="C35" s="133">
        <v>17</v>
      </c>
      <c r="D35" s="125">
        <f>((C21+(C21*-13.8%))/J8)</f>
        <v>477.71114409836053</v>
      </c>
      <c r="E35" s="141">
        <v>0.12792388546514094</v>
      </c>
      <c r="F35" s="128">
        <f>(L8/D35)/5</f>
        <v>27.20993453840747</v>
      </c>
      <c r="G35" s="94">
        <f>(F35*D35)*5</f>
        <v>64992.444795920637</v>
      </c>
    </row>
    <row r="36" spans="2:12" ht="15.75" x14ac:dyDescent="0.25">
      <c r="B36" s="115" t="s">
        <v>82</v>
      </c>
      <c r="C36" s="133">
        <v>17</v>
      </c>
      <c r="D36" s="125">
        <f>((C22+(C22*-16.4%))/J9)</f>
        <v>490.98624742268044</v>
      </c>
      <c r="E36" s="141">
        <v>0.15365210598839707</v>
      </c>
      <c r="F36" s="128">
        <f>(L9/D36)/5</f>
        <v>27.876486859029693</v>
      </c>
      <c r="G36" s="94">
        <f>(F36*D36)*5</f>
        <v>68434.858371213268</v>
      </c>
    </row>
    <row r="37" spans="2:12" ht="15.75" x14ac:dyDescent="0.25">
      <c r="B37" s="115" t="s">
        <v>96</v>
      </c>
      <c r="C37" s="133">
        <v>2</v>
      </c>
      <c r="D37" s="125">
        <f>((C23+(C23*-34.5%))/J10)</f>
        <v>137.79726249999999</v>
      </c>
      <c r="E37" s="141">
        <v>0.33499304821095416</v>
      </c>
      <c r="F37" s="128">
        <f>(L10/D37)/4</f>
        <v>21.756952250161774</v>
      </c>
      <c r="G37" s="94">
        <f t="shared" si="8"/>
        <v>11992.193841662029</v>
      </c>
    </row>
    <row r="38" spans="2:12" ht="15.75" x14ac:dyDescent="0.25">
      <c r="B38" s="115" t="s">
        <v>97</v>
      </c>
      <c r="C38" s="133">
        <v>3</v>
      </c>
      <c r="D38" s="125">
        <f>((C24+(C24*-40.7%))/J11)</f>
        <v>193.5628242857143</v>
      </c>
      <c r="E38" s="141">
        <v>0.39733933216332801</v>
      </c>
      <c r="F38" s="128">
        <f>(L11/D38)/4</f>
        <v>16.70526437851343</v>
      </c>
      <c r="G38" s="94">
        <f t="shared" si="8"/>
        <v>12934.072614178389</v>
      </c>
    </row>
    <row r="39" spans="2:12" x14ac:dyDescent="0.25">
      <c r="F39" s="129">
        <f>SUM(F29:F38)</f>
        <v>267.70286703775685</v>
      </c>
      <c r="G39" s="101">
        <f>SUM(G30:G38)</f>
        <v>395344.47613274504</v>
      </c>
    </row>
    <row r="40" spans="2:12" x14ac:dyDescent="0.25">
      <c r="G40" s="101"/>
    </row>
    <row r="41" spans="2:12" x14ac:dyDescent="0.25">
      <c r="B41" s="208" t="s">
        <v>285</v>
      </c>
      <c r="C41" s="208"/>
      <c r="D41" s="208"/>
      <c r="E41" s="208"/>
      <c r="F41" s="208"/>
      <c r="G41" s="208"/>
    </row>
    <row r="42" spans="2:12" x14ac:dyDescent="0.25">
      <c r="B42" s="114" t="s">
        <v>275</v>
      </c>
      <c r="C42" s="114" t="s">
        <v>282</v>
      </c>
      <c r="D42" s="126" t="s">
        <v>277</v>
      </c>
      <c r="E42" s="127" t="s">
        <v>278</v>
      </c>
      <c r="F42" s="127" t="s">
        <v>278</v>
      </c>
      <c r="G42" s="114" t="s">
        <v>198</v>
      </c>
      <c r="H42"/>
    </row>
    <row r="43" spans="2:12" ht="15.75" customHeight="1" x14ac:dyDescent="0.25">
      <c r="B43" s="150" t="s">
        <v>92</v>
      </c>
      <c r="C43" s="144">
        <v>0.17</v>
      </c>
      <c r="D43" s="148">
        <f>((C16+(C16*-18%))/J3)</f>
        <v>285.75174838709671</v>
      </c>
      <c r="E43" s="149">
        <f t="shared" ref="E43:E51" si="9">L3/D43</f>
        <v>59.396384488761569</v>
      </c>
      <c r="F43" s="149">
        <f>E43/1</f>
        <v>59.396384488761569</v>
      </c>
      <c r="G43" s="94">
        <f>E43*D43</f>
        <v>16972.62071553585</v>
      </c>
      <c r="H43" s="213" t="s">
        <v>297</v>
      </c>
      <c r="I43" s="209"/>
      <c r="J43" s="209"/>
      <c r="K43" s="209"/>
      <c r="L43" s="209"/>
    </row>
    <row r="44" spans="2:12" ht="15.75" x14ac:dyDescent="0.25">
      <c r="B44" s="150" t="s">
        <v>93</v>
      </c>
      <c r="C44" s="144">
        <v>0.15</v>
      </c>
      <c r="D44" s="148">
        <f>((C17+(C17*-16%))/J4)</f>
        <v>391.77709565217384</v>
      </c>
      <c r="E44" s="149">
        <f t="shared" si="9"/>
        <v>152.13877354639379</v>
      </c>
      <c r="F44" s="149">
        <f>E44/4</f>
        <v>38.034693386598448</v>
      </c>
      <c r="G44" s="94">
        <f>(F44*D44)*4</f>
        <v>59604.486836089935</v>
      </c>
      <c r="H44" s="213"/>
      <c r="I44" s="209"/>
      <c r="J44" s="209"/>
      <c r="K44" s="209"/>
      <c r="L44" s="209"/>
    </row>
    <row r="45" spans="2:12" ht="15.75" x14ac:dyDescent="0.25">
      <c r="B45" s="150" t="s">
        <v>77</v>
      </c>
      <c r="C45" s="144">
        <v>0.46</v>
      </c>
      <c r="D45" s="148">
        <f>((C18+(C18*-47%))/J5)</f>
        <v>345.32606046511637</v>
      </c>
      <c r="E45" s="149">
        <f t="shared" si="9"/>
        <v>108.72966939183146</v>
      </c>
      <c r="F45" s="149">
        <f>E45/5</f>
        <v>21.745933878366294</v>
      </c>
      <c r="G45" s="94">
        <f>(F45*D45)*5</f>
        <v>37547.188386755704</v>
      </c>
      <c r="H45" s="213"/>
      <c r="I45" s="209"/>
      <c r="J45" s="209"/>
      <c r="K45" s="209"/>
      <c r="L45" s="209"/>
    </row>
    <row r="46" spans="2:12" ht="15.75" x14ac:dyDescent="0.25">
      <c r="B46" s="150" t="s">
        <v>78</v>
      </c>
      <c r="C46" s="144">
        <v>0.19</v>
      </c>
      <c r="D46" s="148">
        <f>((C19+(C19*-20%))/J6)</f>
        <v>356.3630769230769</v>
      </c>
      <c r="E46" s="149">
        <f t="shared" si="9"/>
        <v>118.44758805351125</v>
      </c>
      <c r="F46" s="149">
        <f>E46/4</f>
        <v>29.611897013377813</v>
      </c>
      <c r="G46" s="94">
        <f t="shared" ref="G46:G51" si="10">(F46*D46)*4</f>
        <v>42210.346932866356</v>
      </c>
      <c r="H46"/>
    </row>
    <row r="47" spans="2:12" ht="15.75" customHeight="1" x14ac:dyDescent="0.25">
      <c r="B47" s="150" t="s">
        <v>94</v>
      </c>
      <c r="C47" s="144">
        <v>0.23</v>
      </c>
      <c r="D47" s="148">
        <f>((C20+(C20*-24%))/J7)</f>
        <v>322.91307851851843</v>
      </c>
      <c r="E47" s="149">
        <f t="shared" si="9"/>
        <v>249.77701122717872</v>
      </c>
      <c r="F47" s="149">
        <f>E47/5</f>
        <v>49.955402245435742</v>
      </c>
      <c r="G47" s="94">
        <f>(F47*D47)*5</f>
        <v>80656.263638522825</v>
      </c>
      <c r="H47" s="155"/>
    </row>
    <row r="48" spans="2:12" ht="15.75" x14ac:dyDescent="0.25">
      <c r="B48" s="150" t="s">
        <v>95</v>
      </c>
      <c r="C48" s="144">
        <v>0.19</v>
      </c>
      <c r="D48" s="148">
        <f>((C21+(C21*-20%))/J8)</f>
        <v>443.3514098360655</v>
      </c>
      <c r="E48" s="149">
        <f t="shared" si="9"/>
        <v>146.59352232567025</v>
      </c>
      <c r="F48" s="149">
        <f>E48/5</f>
        <v>29.318704465134051</v>
      </c>
      <c r="G48" s="94">
        <f>(F48*D48)*5</f>
        <v>64992.444795920645</v>
      </c>
      <c r="H48" s="155"/>
    </row>
    <row r="49" spans="2:8" ht="15.75" x14ac:dyDescent="0.25">
      <c r="B49" s="150" t="s">
        <v>294</v>
      </c>
      <c r="C49" s="135">
        <v>0.15</v>
      </c>
      <c r="D49" s="85">
        <f>((C22+(C22*-36%))/J9)</f>
        <v>375.87463917525776</v>
      </c>
      <c r="E49" s="151">
        <f t="shared" si="9"/>
        <v>182.0683047980377</v>
      </c>
      <c r="F49" s="151">
        <f>E49/5</f>
        <v>36.41366095960754</v>
      </c>
      <c r="G49" s="94">
        <f>(F49*D49)*5</f>
        <v>68434.858371213268</v>
      </c>
      <c r="H49" s="155"/>
    </row>
    <row r="50" spans="2:8" ht="15.75" x14ac:dyDescent="0.25">
      <c r="B50" s="150" t="s">
        <v>96</v>
      </c>
      <c r="C50" s="144">
        <v>0.28999999999999998</v>
      </c>
      <c r="D50" s="148">
        <f>((C23+(C23*-30%))/J10)</f>
        <v>147.26425</v>
      </c>
      <c r="E50" s="149">
        <f t="shared" si="9"/>
        <v>81.433164136319775</v>
      </c>
      <c r="F50" s="149">
        <f>E50/4</f>
        <v>20.358291034079944</v>
      </c>
      <c r="G50" s="94">
        <f t="shared" si="10"/>
        <v>11992.193841662031</v>
      </c>
      <c r="H50"/>
    </row>
    <row r="51" spans="2:8" ht="15.75" x14ac:dyDescent="0.25">
      <c r="B51" s="150" t="s">
        <v>97</v>
      </c>
      <c r="C51" s="144">
        <v>0.6</v>
      </c>
      <c r="D51" s="148">
        <f>((C24+(C24*-61%))/J11)</f>
        <v>127.30101428571432</v>
      </c>
      <c r="E51" s="149">
        <f t="shared" si="9"/>
        <v>101.60227463034322</v>
      </c>
      <c r="F51" s="149">
        <f>E51/4</f>
        <v>25.400568657585804</v>
      </c>
      <c r="G51" s="94">
        <f t="shared" si="10"/>
        <v>12934.072614178391</v>
      </c>
      <c r="H51"/>
    </row>
    <row r="52" spans="2:8" x14ac:dyDescent="0.25">
      <c r="E52" s="129">
        <f>SUM(E43:E51)</f>
        <v>1200.1866925980478</v>
      </c>
      <c r="F52" s="129">
        <f>SUM(F43:F51)</f>
        <v>310.23553612894722</v>
      </c>
      <c r="G52" s="101">
        <f>SUM(G43:G51)</f>
        <v>395344.47613274498</v>
      </c>
      <c r="H52"/>
    </row>
    <row r="55" spans="2:8" x14ac:dyDescent="0.25">
      <c r="B55" s="208" t="s">
        <v>286</v>
      </c>
      <c r="C55" s="208"/>
      <c r="D55" s="208"/>
      <c r="E55" s="208"/>
      <c r="F55" s="208"/>
      <c r="G55" s="208"/>
    </row>
    <row r="56" spans="2:8" x14ac:dyDescent="0.25">
      <c r="B56" s="114" t="s">
        <v>275</v>
      </c>
      <c r="C56" s="114" t="s">
        <v>276</v>
      </c>
      <c r="D56" s="126" t="s">
        <v>277</v>
      </c>
      <c r="E56" s="127" t="s">
        <v>278</v>
      </c>
      <c r="F56" s="127" t="s">
        <v>278</v>
      </c>
      <c r="G56" s="114" t="s">
        <v>198</v>
      </c>
    </row>
    <row r="57" spans="2:8" ht="15.75" x14ac:dyDescent="0.25">
      <c r="B57" s="115" t="s">
        <v>92</v>
      </c>
      <c r="C57" s="85">
        <v>10802.81</v>
      </c>
      <c r="D57" s="125">
        <f>((C16+(C16*-32%))/J3)</f>
        <v>236.96486451612901</v>
      </c>
      <c r="E57" s="128">
        <f>L3/D57</f>
        <v>71.625051883506586</v>
      </c>
      <c r="F57" s="128">
        <f>E57/1</f>
        <v>71.625051883506586</v>
      </c>
      <c r="G57" s="94">
        <f>E57*D57</f>
        <v>16972.62071553585</v>
      </c>
    </row>
    <row r="58" spans="2:8" ht="15.75" x14ac:dyDescent="0.25">
      <c r="B58" s="115" t="s">
        <v>93</v>
      </c>
      <c r="C58" s="85">
        <v>53636.149999999994</v>
      </c>
      <c r="D58" s="125">
        <f>((C17+(C17*-30%))/J4)</f>
        <v>326.48091304347821</v>
      </c>
      <c r="E58" s="128">
        <f t="shared" ref="E58:E65" si="11">L4/D58</f>
        <v>182.56652825567255</v>
      </c>
      <c r="F58" s="128">
        <f>E58/4</f>
        <v>45.641632063918138</v>
      </c>
      <c r="G58" s="94">
        <f>(F58*D58)*4</f>
        <v>59604.486836089935</v>
      </c>
    </row>
    <row r="59" spans="2:8" ht="15.75" x14ac:dyDescent="0.25">
      <c r="B59" s="115" t="s">
        <v>77</v>
      </c>
      <c r="C59" s="85">
        <v>28017.020000000004</v>
      </c>
      <c r="D59" s="125">
        <f>((C18+(C18*-61%))/J5)</f>
        <v>254.10785581395351</v>
      </c>
      <c r="E59" s="128">
        <f t="shared" si="11"/>
        <v>147.76083276325818</v>
      </c>
      <c r="F59" s="128">
        <f>E59/5</f>
        <v>29.552166552651634</v>
      </c>
      <c r="G59" s="94">
        <f>(F59*D59)*5</f>
        <v>37547.188386755704</v>
      </c>
    </row>
    <row r="60" spans="2:8" ht="15.75" x14ac:dyDescent="0.25">
      <c r="B60" s="115" t="s">
        <v>78</v>
      </c>
      <c r="C60" s="85">
        <v>17372.7</v>
      </c>
      <c r="D60" s="125">
        <f>((C19+(C19*-34%))/J6)</f>
        <v>293.99953846153846</v>
      </c>
      <c r="E60" s="128">
        <f t="shared" si="11"/>
        <v>143.57283400425607</v>
      </c>
      <c r="F60" s="128">
        <f>E60/4</f>
        <v>35.893208501064017</v>
      </c>
      <c r="G60" s="94">
        <f t="shared" ref="G60" si="12">(F60*D60)*4</f>
        <v>42210.346932866356</v>
      </c>
    </row>
    <row r="61" spans="2:8" ht="15.75" x14ac:dyDescent="0.25">
      <c r="B61" s="115" t="s">
        <v>94</v>
      </c>
      <c r="C61" s="85">
        <v>57359.55999999999</v>
      </c>
      <c r="D61" s="125">
        <f>((C20+(C20*-38%))/J7)</f>
        <v>263.42909037037032</v>
      </c>
      <c r="E61" s="128">
        <f t="shared" si="11"/>
        <v>306.1782718268642</v>
      </c>
      <c r="F61" s="128">
        <f>E61/5</f>
        <v>61.235654365372838</v>
      </c>
      <c r="G61" s="94">
        <f>(F61*D61)*5</f>
        <v>80656.263638522811</v>
      </c>
    </row>
    <row r="62" spans="2:8" ht="15.75" x14ac:dyDescent="0.25">
      <c r="B62" s="115" t="s">
        <v>95</v>
      </c>
      <c r="C62" s="85">
        <v>67611.089999999982</v>
      </c>
      <c r="D62" s="125">
        <f>((C21+(C21*-34%))/J8)</f>
        <v>365.76491311475399</v>
      </c>
      <c r="E62" s="128">
        <f t="shared" si="11"/>
        <v>177.68911797050941</v>
      </c>
      <c r="F62" s="128">
        <f>E62/5</f>
        <v>35.53782359410188</v>
      </c>
      <c r="G62" s="94">
        <f>(F62*D62)*5</f>
        <v>64992.444795920645</v>
      </c>
    </row>
    <row r="63" spans="2:8" ht="15.75" x14ac:dyDescent="0.25">
      <c r="B63" s="115" t="s">
        <v>82</v>
      </c>
      <c r="C63" s="85">
        <v>56968.500000000007</v>
      </c>
      <c r="D63" s="125">
        <f>((C22+(C22*-51%))/J9)</f>
        <v>287.77902061855673</v>
      </c>
      <c r="E63" s="128">
        <f t="shared" si="11"/>
        <v>237.80350014437576</v>
      </c>
      <c r="F63" s="128">
        <f>E63/5</f>
        <v>47.560700028875154</v>
      </c>
      <c r="G63" s="94">
        <f>(F63*D63)*5</f>
        <v>68434.858371213268</v>
      </c>
    </row>
    <row r="64" spans="2:8" ht="15.75" x14ac:dyDescent="0.25">
      <c r="B64" s="115" t="s">
        <v>96</v>
      </c>
      <c r="C64" s="85">
        <v>841.51</v>
      </c>
      <c r="D64" s="125">
        <f>((C23+(C23*-45%))/J10)</f>
        <v>115.70762499999999</v>
      </c>
      <c r="E64" s="128">
        <f t="shared" si="11"/>
        <v>103.64220890077063</v>
      </c>
      <c r="F64" s="128">
        <f>E64/4</f>
        <v>25.910552225192657</v>
      </c>
      <c r="G64" s="94">
        <f t="shared" ref="G64:G65" si="13">(F64*D64)*4</f>
        <v>11992.193841662029</v>
      </c>
    </row>
    <row r="65" spans="2:9" ht="15.75" x14ac:dyDescent="0.25">
      <c r="B65" s="115" t="s">
        <v>97</v>
      </c>
      <c r="C65" s="85">
        <v>2284.8900000000003</v>
      </c>
      <c r="D65" s="125">
        <f>((C24+(C24*-75%))/J11)</f>
        <v>81.603214285714301</v>
      </c>
      <c r="E65" s="128">
        <f t="shared" si="11"/>
        <v>158.49954842333543</v>
      </c>
      <c r="F65" s="128">
        <f>E65/4</f>
        <v>39.624887105833857</v>
      </c>
      <c r="G65" s="94">
        <f t="shared" si="13"/>
        <v>12934.072614178391</v>
      </c>
    </row>
    <row r="66" spans="2:9" x14ac:dyDescent="0.25">
      <c r="C66" s="81">
        <f>SUM(C57:C65)</f>
        <v>294894.23</v>
      </c>
      <c r="E66" s="129">
        <f>SUM(E57:E65)</f>
        <v>1529.3378941725487</v>
      </c>
      <c r="F66" s="129">
        <f>SUM(F57:F65)</f>
        <v>392.58167632051675</v>
      </c>
      <c r="G66" s="101">
        <f>SUM(G57:G65)</f>
        <v>395344.47613274498</v>
      </c>
    </row>
    <row r="69" spans="2:9" x14ac:dyDescent="0.25">
      <c r="B69" s="208" t="s">
        <v>287</v>
      </c>
      <c r="C69" s="208"/>
      <c r="D69" s="208"/>
      <c r="E69" s="208"/>
      <c r="F69" s="208"/>
      <c r="G69" s="208"/>
    </row>
    <row r="70" spans="2:9" x14ac:dyDescent="0.25">
      <c r="B70" s="114" t="s">
        <v>275</v>
      </c>
      <c r="C70" s="114" t="s">
        <v>276</v>
      </c>
      <c r="D70" s="126" t="s">
        <v>277</v>
      </c>
      <c r="E70" s="127" t="s">
        <v>278</v>
      </c>
      <c r="F70" s="127" t="s">
        <v>278</v>
      </c>
      <c r="G70" s="114" t="s">
        <v>198</v>
      </c>
    </row>
    <row r="71" spans="2:9" ht="15.75" x14ac:dyDescent="0.25">
      <c r="B71" s="115" t="s">
        <v>92</v>
      </c>
      <c r="C71" s="85">
        <v>10802.81</v>
      </c>
      <c r="D71" s="125">
        <f>((C16+(C16*-19.4%))/J3)</f>
        <v>280.87306000000001</v>
      </c>
      <c r="E71" s="128">
        <f>L3/D71</f>
        <v>60.428083474918701</v>
      </c>
      <c r="F71" s="128">
        <f>E71/1</f>
        <v>60.428083474918701</v>
      </c>
      <c r="G71" s="94">
        <f>E71*D71</f>
        <v>16972.62071553585</v>
      </c>
      <c r="I71" s="142"/>
    </row>
    <row r="72" spans="2:9" ht="15.75" x14ac:dyDescent="0.25">
      <c r="B72" s="115" t="s">
        <v>93</v>
      </c>
      <c r="C72" s="85">
        <v>53636.149999999994</v>
      </c>
      <c r="D72" s="125">
        <f>((C17+(C17*-21.5%))/J4)</f>
        <v>366.12502391304349</v>
      </c>
      <c r="E72" s="128">
        <f t="shared" ref="E72:E79" si="14">L4/D72</f>
        <v>162.79817806238316</v>
      </c>
      <c r="F72" s="128">
        <f>E72/4</f>
        <v>40.69954451559579</v>
      </c>
      <c r="G72" s="94">
        <f>(F72*D72)*4</f>
        <v>59604.486836089949</v>
      </c>
      <c r="I72" s="142"/>
    </row>
    <row r="73" spans="2:9" ht="15.75" x14ac:dyDescent="0.25">
      <c r="B73" s="115" t="s">
        <v>77</v>
      </c>
      <c r="C73" s="85">
        <v>28017.020000000004</v>
      </c>
      <c r="D73" s="125">
        <f>((C18+(C18*-62%))/J5)</f>
        <v>247.59226976744185</v>
      </c>
      <c r="E73" s="128">
        <f t="shared" si="14"/>
        <v>151.64927573071236</v>
      </c>
      <c r="F73" s="128">
        <f>E73/5</f>
        <v>30.329855146142471</v>
      </c>
      <c r="G73" s="94">
        <f>(F73*D73)*5</f>
        <v>37547.188386755704</v>
      </c>
      <c r="I73" s="142"/>
    </row>
    <row r="74" spans="2:9" ht="15.75" x14ac:dyDescent="0.25">
      <c r="B74" s="115" t="s">
        <v>78</v>
      </c>
      <c r="C74" s="85">
        <v>17372.7</v>
      </c>
      <c r="D74" s="125">
        <f>((C19+(C19*-35.4%))/J6)</f>
        <v>287.76318461538466</v>
      </c>
      <c r="E74" s="128">
        <f t="shared" si="14"/>
        <v>146.68431957091173</v>
      </c>
      <c r="F74" s="128">
        <f>E74/4</f>
        <v>36.671079892727931</v>
      </c>
      <c r="G74" s="94">
        <f t="shared" ref="G74" si="15">(F74*D74)*4</f>
        <v>42210.346932866349</v>
      </c>
      <c r="I74" s="142"/>
    </row>
    <row r="75" spans="2:9" ht="15.75" x14ac:dyDescent="0.25">
      <c r="B75" s="115" t="s">
        <v>94</v>
      </c>
      <c r="C75" s="85">
        <v>57359.55999999999</v>
      </c>
      <c r="D75" s="125">
        <f>((C20+(C20*-41.5%))/J7)</f>
        <v>248.55809333333332</v>
      </c>
      <c r="E75" s="128">
        <f t="shared" si="14"/>
        <v>324.49662997035176</v>
      </c>
      <c r="F75" s="128">
        <f>E75/5</f>
        <v>64.899325994070352</v>
      </c>
      <c r="G75" s="94">
        <f>(F75*D75)*5</f>
        <v>80656.263638522811</v>
      </c>
      <c r="I75" s="142"/>
    </row>
    <row r="76" spans="2:9" ht="15.75" x14ac:dyDescent="0.25">
      <c r="B76" s="115" t="s">
        <v>95</v>
      </c>
      <c r="C76" s="85">
        <v>67611.089999999982</v>
      </c>
      <c r="D76" s="125">
        <f>((C21+(C21*-31.8%))/J8)</f>
        <v>377.95707688524584</v>
      </c>
      <c r="E76" s="128">
        <f t="shared" si="14"/>
        <v>171.95721093920264</v>
      </c>
      <c r="F76" s="128">
        <f>E76/5</f>
        <v>34.391442187840525</v>
      </c>
      <c r="G76" s="94">
        <f>(F76*D76)*5</f>
        <v>64992.444795920645</v>
      </c>
      <c r="I76" s="142"/>
    </row>
    <row r="77" spans="2:9" ht="15.75" x14ac:dyDescent="0.25">
      <c r="B77" s="115" t="s">
        <v>82</v>
      </c>
      <c r="C77" s="85">
        <v>56968.500000000007</v>
      </c>
      <c r="D77" s="125">
        <f>((C22+(C22*-51.4%))/J9)</f>
        <v>285.42980412371139</v>
      </c>
      <c r="E77" s="128">
        <f t="shared" si="14"/>
        <v>239.76073059823889</v>
      </c>
      <c r="F77" s="128">
        <f>E77/5</f>
        <v>47.952146119647779</v>
      </c>
      <c r="G77" s="94">
        <f>(F77*D77)*5</f>
        <v>68434.858371213268</v>
      </c>
      <c r="I77" s="142"/>
    </row>
    <row r="78" spans="2:9" ht="15.75" x14ac:dyDescent="0.25">
      <c r="B78" s="115" t="s">
        <v>96</v>
      </c>
      <c r="C78" s="85">
        <v>841.51</v>
      </c>
      <c r="D78" s="125">
        <f>((C23+(C23*-62.5%))/J10)</f>
        <v>78.891562499999992</v>
      </c>
      <c r="E78" s="128">
        <f t="shared" si="14"/>
        <v>152.0085730544636</v>
      </c>
      <c r="F78" s="128">
        <f>E78/4</f>
        <v>38.002143263615899</v>
      </c>
      <c r="G78" s="94">
        <f t="shared" ref="G78:G79" si="16">(F78*D78)*4</f>
        <v>11992.193841662029</v>
      </c>
      <c r="I78" s="142"/>
    </row>
    <row r="79" spans="2:9" ht="15.75" x14ac:dyDescent="0.25">
      <c r="B79" s="115" t="s">
        <v>97</v>
      </c>
      <c r="C79" s="85">
        <v>2284.8900000000003</v>
      </c>
      <c r="D79" s="125">
        <f>((C24+(C24*-75%))/J11)</f>
        <v>81.603214285714301</v>
      </c>
      <c r="E79" s="128">
        <f t="shared" si="14"/>
        <v>158.49954842333543</v>
      </c>
      <c r="F79" s="128">
        <f>E79/4</f>
        <v>39.624887105833857</v>
      </c>
      <c r="G79" s="94">
        <f t="shared" si="16"/>
        <v>12934.072614178391</v>
      </c>
      <c r="I79" s="142"/>
    </row>
    <row r="80" spans="2:9" x14ac:dyDescent="0.25">
      <c r="C80" s="81">
        <f>SUM(C71:C79)</f>
        <v>294894.23</v>
      </c>
      <c r="E80" s="129">
        <f>SUM(E71:E79)</f>
        <v>1568.2825498245184</v>
      </c>
      <c r="F80" s="129">
        <f>SUM(F71:F79)</f>
        <v>392.9985077003933</v>
      </c>
      <c r="G80" s="101">
        <f>SUM(G71:G79)</f>
        <v>395344.47613274498</v>
      </c>
    </row>
  </sheetData>
  <mergeCells count="8">
    <mergeCell ref="H43:L45"/>
    <mergeCell ref="B55:G55"/>
    <mergeCell ref="B69:G69"/>
    <mergeCell ref="B5:C5"/>
    <mergeCell ref="B12:C12"/>
    <mergeCell ref="B14:G14"/>
    <mergeCell ref="B28:G28"/>
    <mergeCell ref="B41:G41"/>
  </mergeCells>
  <pageMargins left="0.51181102362204722" right="0.51181102362204722" top="0.78740157480314965" bottom="0.78740157480314965" header="0.31496062992125984" footer="0.31496062992125984"/>
  <pageSetup paperSize="9" scale="39" orientation="landscape" r:id="rId1"/>
  <rowBreaks count="1" manualBreakCount="1">
    <brk id="40" min="1" max="1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8"/>
  <sheetViews>
    <sheetView zoomScale="70" zoomScaleNormal="70" workbookViewId="0">
      <selection activeCell="R2" sqref="R2"/>
    </sheetView>
  </sheetViews>
  <sheetFormatPr defaultColWidth="8.85546875" defaultRowHeight="15" x14ac:dyDescent="0.25"/>
  <cols>
    <col min="1" max="1" width="8.85546875" style="1" customWidth="1"/>
    <col min="2" max="4" width="8.85546875" style="1"/>
    <col min="5" max="5" width="8.7109375" style="3" bestFit="1" customWidth="1"/>
    <col min="6" max="6" width="5.42578125" style="28" bestFit="1" customWidth="1"/>
    <col min="7" max="7" width="11" style="5" bestFit="1" customWidth="1"/>
    <col min="8" max="8" width="5.42578125" style="28" bestFit="1" customWidth="1"/>
    <col min="9" max="9" width="11" style="5" bestFit="1" customWidth="1"/>
    <col min="10" max="10" width="5.42578125" style="28" bestFit="1" customWidth="1"/>
    <col min="11" max="11" width="9.140625" style="5" bestFit="1" customWidth="1"/>
    <col min="12" max="12" width="5.42578125" style="28" bestFit="1" customWidth="1"/>
    <col min="13" max="13" width="9.140625" style="5" bestFit="1" customWidth="1"/>
    <col min="14" max="14" width="5.42578125" style="28" bestFit="1" customWidth="1"/>
    <col min="15" max="15" width="9.140625" style="5" bestFit="1" customWidth="1"/>
    <col min="16" max="16" width="5.42578125" style="28" bestFit="1" customWidth="1"/>
    <col min="17" max="17" width="22.5703125" style="6" bestFit="1" customWidth="1"/>
    <col min="18" max="16384" width="8.85546875" style="1"/>
  </cols>
  <sheetData>
    <row r="1" spans="1:22" s="4" customFormat="1" ht="19.899999999999999" customHeight="1" thickBot="1" x14ac:dyDescent="0.3">
      <c r="A1" s="217" t="s">
        <v>0</v>
      </c>
      <c r="B1" s="218"/>
      <c r="C1" s="218"/>
      <c r="D1" s="219"/>
      <c r="E1" s="51" t="s">
        <v>1</v>
      </c>
      <c r="F1" s="52" t="s">
        <v>48</v>
      </c>
      <c r="G1" s="53" t="s">
        <v>1</v>
      </c>
      <c r="H1" s="52" t="s">
        <v>48</v>
      </c>
      <c r="I1" s="53" t="s">
        <v>1</v>
      </c>
      <c r="J1" s="52" t="s">
        <v>48</v>
      </c>
      <c r="K1" s="53" t="s">
        <v>1</v>
      </c>
      <c r="L1" s="52" t="s">
        <v>48</v>
      </c>
      <c r="M1" s="54" t="s">
        <v>1</v>
      </c>
      <c r="N1" s="55" t="s">
        <v>48</v>
      </c>
      <c r="O1" s="54" t="s">
        <v>1</v>
      </c>
      <c r="P1" s="55" t="s">
        <v>48</v>
      </c>
      <c r="Q1" s="56" t="s">
        <v>61</v>
      </c>
    </row>
    <row r="2" spans="1:22" s="7" customFormat="1" ht="16.5" thickTop="1" thickBot="1" x14ac:dyDescent="0.3">
      <c r="A2" s="220" t="s">
        <v>2</v>
      </c>
      <c r="B2" s="220"/>
      <c r="C2" s="220"/>
      <c r="D2" s="220"/>
      <c r="E2" s="57" t="s">
        <v>49</v>
      </c>
      <c r="F2" s="58">
        <v>12</v>
      </c>
      <c r="G2" s="59" t="s">
        <v>50</v>
      </c>
      <c r="H2" s="60">
        <v>4</v>
      </c>
      <c r="I2" s="61" t="s">
        <v>51</v>
      </c>
      <c r="J2" s="62">
        <v>2</v>
      </c>
      <c r="K2" s="63"/>
      <c r="L2" s="64"/>
      <c r="M2" s="63"/>
      <c r="N2" s="64"/>
      <c r="O2" s="63"/>
      <c r="P2" s="64"/>
      <c r="Q2" s="65" t="s">
        <v>62</v>
      </c>
    </row>
    <row r="3" spans="1:22" s="71" customFormat="1" ht="15.75" thickTop="1" x14ac:dyDescent="0.25">
      <c r="A3" s="221" t="s">
        <v>3</v>
      </c>
      <c r="B3" s="222"/>
      <c r="C3" s="222"/>
      <c r="D3" s="223"/>
      <c r="E3" s="66" t="s">
        <v>52</v>
      </c>
      <c r="F3" s="67">
        <v>2</v>
      </c>
      <c r="G3" s="68"/>
      <c r="H3" s="69"/>
      <c r="I3" s="68"/>
      <c r="J3" s="69"/>
      <c r="K3" s="68"/>
      <c r="L3" s="69"/>
      <c r="M3" s="68"/>
      <c r="N3" s="69"/>
      <c r="O3" s="68"/>
      <c r="P3" s="69"/>
      <c r="Q3" s="70" t="s">
        <v>63</v>
      </c>
    </row>
    <row r="4" spans="1:22" x14ac:dyDescent="0.25">
      <c r="A4" s="215" t="s">
        <v>4</v>
      </c>
      <c r="B4" s="215"/>
      <c r="C4" s="215"/>
      <c r="D4" s="215"/>
      <c r="E4" s="10" t="s">
        <v>53</v>
      </c>
      <c r="F4" s="21">
        <v>8</v>
      </c>
      <c r="G4" s="31"/>
      <c r="H4" s="45"/>
      <c r="I4" s="31"/>
      <c r="J4" s="45"/>
      <c r="K4" s="31"/>
      <c r="L4" s="45"/>
      <c r="M4" s="31"/>
      <c r="N4" s="45"/>
      <c r="O4" s="31"/>
      <c r="P4" s="45"/>
      <c r="Q4" s="43" t="s">
        <v>64</v>
      </c>
    </row>
    <row r="5" spans="1:22" x14ac:dyDescent="0.25">
      <c r="A5" s="214" t="s">
        <v>5</v>
      </c>
      <c r="B5" s="214"/>
      <c r="C5" s="214"/>
      <c r="D5" s="214"/>
      <c r="E5" s="10" t="s">
        <v>53</v>
      </c>
      <c r="F5" s="21">
        <v>12</v>
      </c>
      <c r="G5" s="30"/>
      <c r="H5" s="26"/>
      <c r="I5" s="30"/>
      <c r="J5" s="26"/>
      <c r="K5" s="30"/>
      <c r="L5" s="26"/>
      <c r="M5" s="30"/>
      <c r="N5" s="26"/>
      <c r="O5" s="30"/>
      <c r="P5" s="26"/>
      <c r="Q5" s="44" t="s">
        <v>65</v>
      </c>
      <c r="S5" s="224" t="s">
        <v>75</v>
      </c>
      <c r="T5" s="224"/>
      <c r="U5" s="224"/>
      <c r="V5" s="224"/>
    </row>
    <row r="6" spans="1:22" x14ac:dyDescent="0.25">
      <c r="A6" s="215" t="s">
        <v>6</v>
      </c>
      <c r="B6" s="215"/>
      <c r="C6" s="215"/>
      <c r="D6" s="215"/>
      <c r="E6" s="11" t="s">
        <v>54</v>
      </c>
      <c r="F6" s="22">
        <v>4</v>
      </c>
      <c r="G6" s="29" t="s">
        <v>50</v>
      </c>
      <c r="H6" s="23">
        <v>2</v>
      </c>
      <c r="I6" s="32" t="s">
        <v>55</v>
      </c>
      <c r="J6" s="46">
        <v>2</v>
      </c>
      <c r="K6" s="39" t="s">
        <v>53</v>
      </c>
      <c r="L6" s="21">
        <v>2</v>
      </c>
      <c r="M6" s="34" t="s">
        <v>49</v>
      </c>
      <c r="N6" s="19">
        <v>2</v>
      </c>
      <c r="O6" s="41" t="s">
        <v>51</v>
      </c>
      <c r="P6" s="49">
        <v>2</v>
      </c>
      <c r="Q6" s="43" t="s">
        <v>65</v>
      </c>
      <c r="S6" s="225" t="s">
        <v>76</v>
      </c>
      <c r="T6" s="225"/>
      <c r="U6" s="225"/>
      <c r="V6" s="225"/>
    </row>
    <row r="7" spans="1:22" x14ac:dyDescent="0.25">
      <c r="A7" s="214" t="s">
        <v>7</v>
      </c>
      <c r="B7" s="214"/>
      <c r="C7" s="214"/>
      <c r="D7" s="214"/>
      <c r="E7" s="12" t="s">
        <v>50</v>
      </c>
      <c r="F7" s="23">
        <v>6</v>
      </c>
      <c r="G7" s="32"/>
      <c r="H7" s="46"/>
      <c r="I7" s="34" t="s">
        <v>49</v>
      </c>
      <c r="J7" s="19">
        <v>2</v>
      </c>
      <c r="K7" s="35" t="s">
        <v>52</v>
      </c>
      <c r="L7" s="20">
        <v>4</v>
      </c>
      <c r="M7" s="36" t="s">
        <v>56</v>
      </c>
      <c r="N7" s="47">
        <v>4</v>
      </c>
      <c r="O7" s="30"/>
      <c r="P7" s="26"/>
      <c r="Q7" s="44" t="s">
        <v>66</v>
      </c>
      <c r="S7" s="239" t="s">
        <v>79</v>
      </c>
      <c r="T7" s="239"/>
      <c r="U7" s="239"/>
      <c r="V7" s="239"/>
    </row>
    <row r="8" spans="1:22" x14ac:dyDescent="0.25">
      <c r="A8" s="215" t="s">
        <v>8</v>
      </c>
      <c r="B8" s="215"/>
      <c r="C8" s="215"/>
      <c r="D8" s="215"/>
      <c r="E8" s="8" t="s">
        <v>49</v>
      </c>
      <c r="F8" s="19">
        <v>2</v>
      </c>
      <c r="G8" s="29" t="s">
        <v>50</v>
      </c>
      <c r="H8" s="23">
        <v>2</v>
      </c>
      <c r="I8" s="35" t="s">
        <v>52</v>
      </c>
      <c r="J8" s="20">
        <v>10</v>
      </c>
      <c r="K8" s="31"/>
      <c r="L8" s="45"/>
      <c r="M8" s="31"/>
      <c r="N8" s="45"/>
      <c r="O8" s="31"/>
      <c r="P8" s="45"/>
      <c r="Q8" s="43" t="s">
        <v>67</v>
      </c>
      <c r="S8" s="226" t="s">
        <v>77</v>
      </c>
      <c r="T8" s="226"/>
      <c r="U8" s="226"/>
      <c r="V8" s="226"/>
    </row>
    <row r="9" spans="1:22" x14ac:dyDescent="0.25">
      <c r="A9" s="214" t="s">
        <v>9</v>
      </c>
      <c r="B9" s="214"/>
      <c r="C9" s="214"/>
      <c r="D9" s="214"/>
      <c r="E9" s="13" t="s">
        <v>57</v>
      </c>
      <c r="F9" s="24">
        <v>4</v>
      </c>
      <c r="G9" s="33" t="s">
        <v>58</v>
      </c>
      <c r="H9" s="27">
        <v>2</v>
      </c>
      <c r="I9" s="34" t="s">
        <v>49</v>
      </c>
      <c r="J9" s="19">
        <v>2</v>
      </c>
      <c r="K9" s="29" t="s">
        <v>50</v>
      </c>
      <c r="L9" s="23">
        <v>6</v>
      </c>
      <c r="M9" s="30"/>
      <c r="N9" s="26"/>
      <c r="O9" s="30"/>
      <c r="P9" s="26"/>
      <c r="Q9" s="44" t="s">
        <v>67</v>
      </c>
      <c r="S9" s="227" t="s">
        <v>78</v>
      </c>
      <c r="T9" s="228"/>
      <c r="U9" s="228"/>
      <c r="V9" s="229"/>
    </row>
    <row r="10" spans="1:22" x14ac:dyDescent="0.25">
      <c r="A10" s="215" t="s">
        <v>10</v>
      </c>
      <c r="B10" s="215"/>
      <c r="C10" s="215"/>
      <c r="D10" s="215"/>
      <c r="E10" s="14" t="s">
        <v>59</v>
      </c>
      <c r="F10" s="25">
        <v>10</v>
      </c>
      <c r="G10" s="31"/>
      <c r="H10" s="45"/>
      <c r="I10" s="31"/>
      <c r="J10" s="45"/>
      <c r="K10" s="31"/>
      <c r="L10" s="45"/>
      <c r="M10" s="31"/>
      <c r="N10" s="45"/>
      <c r="O10" s="31"/>
      <c r="P10" s="45"/>
      <c r="Q10" s="43" t="s">
        <v>68</v>
      </c>
      <c r="S10" s="240" t="s">
        <v>80</v>
      </c>
      <c r="T10" s="241"/>
      <c r="U10" s="241"/>
      <c r="V10" s="242"/>
    </row>
    <row r="11" spans="1:22" x14ac:dyDescent="0.25">
      <c r="A11" s="214" t="s">
        <v>11</v>
      </c>
      <c r="B11" s="214"/>
      <c r="C11" s="214"/>
      <c r="D11" s="214"/>
      <c r="E11" s="14" t="s">
        <v>59</v>
      </c>
      <c r="F11" s="25">
        <v>12</v>
      </c>
      <c r="G11" s="30"/>
      <c r="H11" s="26"/>
      <c r="I11" s="30"/>
      <c r="J11" s="26"/>
      <c r="K11" s="30"/>
      <c r="L11" s="26"/>
      <c r="M11" s="30"/>
      <c r="N11" s="26"/>
      <c r="O11" s="30"/>
      <c r="P11" s="26"/>
      <c r="Q11" s="44" t="s">
        <v>65</v>
      </c>
      <c r="S11" s="243" t="s">
        <v>81</v>
      </c>
      <c r="T11" s="244"/>
      <c r="U11" s="244"/>
      <c r="V11" s="245"/>
    </row>
    <row r="12" spans="1:22" x14ac:dyDescent="0.25">
      <c r="A12" s="215" t="s">
        <v>12</v>
      </c>
      <c r="B12" s="215"/>
      <c r="C12" s="215"/>
      <c r="D12" s="215"/>
      <c r="E12" s="12" t="s">
        <v>50</v>
      </c>
      <c r="F12" s="23">
        <v>10</v>
      </c>
      <c r="G12" s="34" t="s">
        <v>49</v>
      </c>
      <c r="H12" s="19">
        <v>6</v>
      </c>
      <c r="I12" s="41" t="s">
        <v>51</v>
      </c>
      <c r="J12" s="49">
        <v>2</v>
      </c>
      <c r="K12" s="36" t="s">
        <v>56</v>
      </c>
      <c r="L12" s="47">
        <v>2</v>
      </c>
      <c r="M12" s="31"/>
      <c r="N12" s="45"/>
      <c r="O12" s="31"/>
      <c r="P12" s="45"/>
      <c r="Q12" s="43" t="s">
        <v>69</v>
      </c>
      <c r="S12" s="246" t="s">
        <v>82</v>
      </c>
      <c r="T12" s="247"/>
      <c r="U12" s="247"/>
      <c r="V12" s="248"/>
    </row>
    <row r="13" spans="1:22" x14ac:dyDescent="0.25">
      <c r="A13" s="214" t="s">
        <v>13</v>
      </c>
      <c r="B13" s="214"/>
      <c r="C13" s="214"/>
      <c r="D13" s="214"/>
      <c r="E13" s="13" t="s">
        <v>57</v>
      </c>
      <c r="F13" s="24">
        <v>4</v>
      </c>
      <c r="G13" s="33" t="s">
        <v>58</v>
      </c>
      <c r="H13" s="27">
        <v>4</v>
      </c>
      <c r="I13" s="30"/>
      <c r="J13" s="26"/>
      <c r="K13" s="30"/>
      <c r="L13" s="26"/>
      <c r="M13" s="30"/>
      <c r="N13" s="26"/>
      <c r="O13" s="30"/>
      <c r="P13" s="26"/>
      <c r="Q13" s="44" t="s">
        <v>64</v>
      </c>
      <c r="S13" s="249" t="s">
        <v>83</v>
      </c>
      <c r="T13" s="250"/>
      <c r="U13" s="250"/>
      <c r="V13" s="251"/>
    </row>
    <row r="14" spans="1:22" x14ac:dyDescent="0.25">
      <c r="A14" s="215" t="s">
        <v>14</v>
      </c>
      <c r="B14" s="215"/>
      <c r="C14" s="215"/>
      <c r="D14" s="215"/>
      <c r="E14" s="8" t="s">
        <v>49</v>
      </c>
      <c r="F14" s="19">
        <v>2</v>
      </c>
      <c r="G14" s="35" t="s">
        <v>52</v>
      </c>
      <c r="H14" s="20">
        <v>2</v>
      </c>
      <c r="I14" s="29" t="s">
        <v>50</v>
      </c>
      <c r="J14" s="23">
        <v>2</v>
      </c>
      <c r="K14" s="36" t="s">
        <v>56</v>
      </c>
      <c r="L14" s="47">
        <v>2</v>
      </c>
      <c r="M14" s="31"/>
      <c r="N14" s="45"/>
      <c r="O14" s="31"/>
      <c r="P14" s="45"/>
      <c r="Q14" s="43" t="s">
        <v>64</v>
      </c>
      <c r="S14" s="252" t="s">
        <v>84</v>
      </c>
      <c r="T14" s="253"/>
      <c r="U14" s="253"/>
      <c r="V14" s="254"/>
    </row>
    <row r="15" spans="1:22" x14ac:dyDescent="0.25">
      <c r="A15" s="214" t="s">
        <v>15</v>
      </c>
      <c r="B15" s="214"/>
      <c r="C15" s="214"/>
      <c r="D15" s="214"/>
      <c r="E15" s="9" t="s">
        <v>52</v>
      </c>
      <c r="F15" s="20">
        <v>4</v>
      </c>
      <c r="G15" s="36" t="s">
        <v>56</v>
      </c>
      <c r="H15" s="47">
        <v>4</v>
      </c>
      <c r="I15" s="30"/>
      <c r="J15" s="26"/>
      <c r="K15" s="30"/>
      <c r="L15" s="26"/>
      <c r="M15" s="30"/>
      <c r="N15" s="26"/>
      <c r="O15" s="30"/>
      <c r="P15" s="26"/>
      <c r="Q15" s="44" t="s">
        <v>64</v>
      </c>
      <c r="S15" s="230" t="s">
        <v>85</v>
      </c>
      <c r="T15" s="231"/>
      <c r="U15" s="231"/>
      <c r="V15" s="232"/>
    </row>
    <row r="16" spans="1:22" x14ac:dyDescent="0.25">
      <c r="A16" s="215" t="s">
        <v>16</v>
      </c>
      <c r="B16" s="215"/>
      <c r="C16" s="215"/>
      <c r="D16" s="215"/>
      <c r="E16" s="14" t="s">
        <v>59</v>
      </c>
      <c r="F16" s="25">
        <v>8</v>
      </c>
      <c r="G16" s="31"/>
      <c r="H16" s="45"/>
      <c r="I16" s="31"/>
      <c r="J16" s="45"/>
      <c r="K16" s="31"/>
      <c r="L16" s="45"/>
      <c r="M16" s="31"/>
      <c r="N16" s="45"/>
      <c r="O16" s="31"/>
      <c r="P16" s="45"/>
      <c r="Q16" s="43" t="s">
        <v>64</v>
      </c>
      <c r="S16" s="233" t="s">
        <v>86</v>
      </c>
      <c r="T16" s="234"/>
      <c r="U16" s="234"/>
      <c r="V16" s="235"/>
    </row>
    <row r="17" spans="1:22" x14ac:dyDescent="0.25">
      <c r="A17" s="214" t="s">
        <v>17</v>
      </c>
      <c r="B17" s="214"/>
      <c r="C17" s="214"/>
      <c r="D17" s="214"/>
      <c r="E17" s="9" t="s">
        <v>52</v>
      </c>
      <c r="F17" s="20">
        <v>8</v>
      </c>
      <c r="G17" s="36" t="s">
        <v>56</v>
      </c>
      <c r="H17" s="47">
        <v>8</v>
      </c>
      <c r="I17" s="30"/>
      <c r="J17" s="26"/>
      <c r="K17" s="30"/>
      <c r="L17" s="26"/>
      <c r="M17" s="30"/>
      <c r="N17" s="26"/>
      <c r="O17" s="30"/>
      <c r="P17" s="26"/>
      <c r="Q17" s="44" t="s">
        <v>66</v>
      </c>
      <c r="S17" s="236"/>
      <c r="T17" s="237"/>
      <c r="U17" s="237"/>
      <c r="V17" s="238"/>
    </row>
    <row r="18" spans="1:22" x14ac:dyDescent="0.25">
      <c r="A18" s="215" t="s">
        <v>18</v>
      </c>
      <c r="B18" s="215"/>
      <c r="C18" s="215"/>
      <c r="D18" s="215"/>
      <c r="E18" s="10" t="s">
        <v>53</v>
      </c>
      <c r="F18" s="21">
        <v>8</v>
      </c>
      <c r="G18" s="31"/>
      <c r="H18" s="45"/>
      <c r="I18" s="31"/>
      <c r="J18" s="45"/>
      <c r="K18" s="31"/>
      <c r="L18" s="45"/>
      <c r="M18" s="31"/>
      <c r="N18" s="45"/>
      <c r="O18" s="31"/>
      <c r="P18" s="45"/>
      <c r="Q18" s="43" t="s">
        <v>64</v>
      </c>
    </row>
    <row r="19" spans="1:22" x14ac:dyDescent="0.25">
      <c r="A19" s="214" t="s">
        <v>19</v>
      </c>
      <c r="B19" s="214"/>
      <c r="C19" s="214"/>
      <c r="D19" s="214"/>
      <c r="E19" s="11" t="s">
        <v>54</v>
      </c>
      <c r="F19" s="22">
        <v>8</v>
      </c>
      <c r="G19" s="30"/>
      <c r="H19" s="26"/>
      <c r="I19" s="30"/>
      <c r="J19" s="26"/>
      <c r="K19" s="30"/>
      <c r="L19" s="26"/>
      <c r="M19" s="30"/>
      <c r="N19" s="26"/>
      <c r="O19" s="30"/>
      <c r="P19" s="26"/>
      <c r="Q19" s="44" t="s">
        <v>64</v>
      </c>
    </row>
    <row r="20" spans="1:22" x14ac:dyDescent="0.25">
      <c r="A20" s="215" t="s">
        <v>20</v>
      </c>
      <c r="B20" s="215"/>
      <c r="C20" s="215"/>
      <c r="D20" s="215"/>
      <c r="E20" s="10" t="s">
        <v>53</v>
      </c>
      <c r="F20" s="21">
        <v>4</v>
      </c>
      <c r="G20" s="37" t="s">
        <v>59</v>
      </c>
      <c r="H20" s="25">
        <v>2</v>
      </c>
      <c r="I20" s="29" t="s">
        <v>50</v>
      </c>
      <c r="J20" s="23">
        <v>8</v>
      </c>
      <c r="K20" s="34" t="s">
        <v>49</v>
      </c>
      <c r="L20" s="19">
        <v>2</v>
      </c>
      <c r="M20" s="41" t="s">
        <v>51</v>
      </c>
      <c r="N20" s="49">
        <v>2</v>
      </c>
      <c r="O20" s="31"/>
      <c r="P20" s="45"/>
      <c r="Q20" s="43" t="s">
        <v>62</v>
      </c>
    </row>
    <row r="21" spans="1:22" x14ac:dyDescent="0.25">
      <c r="A21" s="214" t="s">
        <v>21</v>
      </c>
      <c r="B21" s="214"/>
      <c r="C21" s="214"/>
      <c r="D21" s="214"/>
      <c r="E21" s="14" t="s">
        <v>59</v>
      </c>
      <c r="F21" s="25">
        <v>8</v>
      </c>
      <c r="G21" s="30"/>
      <c r="H21" s="26"/>
      <c r="I21" s="30"/>
      <c r="J21" s="26"/>
      <c r="K21" s="30"/>
      <c r="L21" s="26"/>
      <c r="M21" s="30"/>
      <c r="N21" s="26"/>
      <c r="O21" s="30"/>
      <c r="P21" s="26"/>
      <c r="Q21" s="44" t="s">
        <v>64</v>
      </c>
    </row>
    <row r="22" spans="1:22" x14ac:dyDescent="0.25">
      <c r="A22" s="215" t="s">
        <v>22</v>
      </c>
      <c r="B22" s="215"/>
      <c r="C22" s="215"/>
      <c r="D22" s="215"/>
      <c r="E22" s="9" t="s">
        <v>52</v>
      </c>
      <c r="F22" s="20">
        <v>16</v>
      </c>
      <c r="G22" s="36" t="s">
        <v>56</v>
      </c>
      <c r="H22" s="47">
        <v>12</v>
      </c>
      <c r="I22" s="31"/>
      <c r="J22" s="45"/>
      <c r="K22" s="31"/>
      <c r="L22" s="45"/>
      <c r="M22" s="31"/>
      <c r="N22" s="45"/>
      <c r="O22" s="31"/>
      <c r="P22" s="45"/>
      <c r="Q22" s="43" t="s">
        <v>70</v>
      </c>
    </row>
    <row r="23" spans="1:22" x14ac:dyDescent="0.25">
      <c r="A23" s="214" t="s">
        <v>23</v>
      </c>
      <c r="B23" s="214"/>
      <c r="C23" s="214"/>
      <c r="D23" s="214"/>
      <c r="E23" s="15"/>
      <c r="F23" s="26"/>
      <c r="G23" s="30"/>
      <c r="H23" s="26"/>
      <c r="I23" s="30"/>
      <c r="J23" s="26"/>
      <c r="K23" s="30"/>
      <c r="L23" s="26"/>
      <c r="M23" s="30"/>
      <c r="N23" s="26"/>
      <c r="O23" s="30"/>
      <c r="P23" s="26"/>
      <c r="Q23" s="44"/>
    </row>
    <row r="24" spans="1:22" x14ac:dyDescent="0.25">
      <c r="A24" s="215" t="s">
        <v>24</v>
      </c>
      <c r="B24" s="215"/>
      <c r="C24" s="215"/>
      <c r="D24" s="215"/>
      <c r="E24" s="14" t="s">
        <v>59</v>
      </c>
      <c r="F24" s="25">
        <v>8</v>
      </c>
      <c r="G24" s="31"/>
      <c r="H24" s="45"/>
      <c r="I24" s="31"/>
      <c r="J24" s="45"/>
      <c r="K24" s="31"/>
      <c r="L24" s="45"/>
      <c r="M24" s="31"/>
      <c r="N24" s="45"/>
      <c r="O24" s="31"/>
      <c r="P24" s="45"/>
      <c r="Q24" s="43" t="s">
        <v>64</v>
      </c>
    </row>
    <row r="25" spans="1:22" x14ac:dyDescent="0.25">
      <c r="A25" s="214" t="s">
        <v>25</v>
      </c>
      <c r="B25" s="214"/>
      <c r="C25" s="214"/>
      <c r="D25" s="214"/>
      <c r="E25" s="9" t="s">
        <v>52</v>
      </c>
      <c r="F25" s="20">
        <v>12</v>
      </c>
      <c r="G25" s="36" t="s">
        <v>56</v>
      </c>
      <c r="H25" s="47">
        <v>8</v>
      </c>
      <c r="I25" s="30"/>
      <c r="J25" s="26"/>
      <c r="K25" s="30"/>
      <c r="L25" s="26"/>
      <c r="M25" s="30"/>
      <c r="N25" s="26"/>
      <c r="O25" s="30"/>
      <c r="P25" s="26"/>
      <c r="Q25" s="44" t="s">
        <v>69</v>
      </c>
    </row>
    <row r="26" spans="1:22" x14ac:dyDescent="0.25">
      <c r="A26" s="215" t="s">
        <v>26</v>
      </c>
      <c r="B26" s="215"/>
      <c r="C26" s="215"/>
      <c r="D26" s="215"/>
      <c r="E26" s="10" t="s">
        <v>53</v>
      </c>
      <c r="F26" s="21">
        <v>14</v>
      </c>
      <c r="G26" s="31"/>
      <c r="H26" s="45"/>
      <c r="I26" s="31"/>
      <c r="J26" s="45"/>
      <c r="K26" s="31"/>
      <c r="L26" s="45"/>
      <c r="M26" s="31"/>
      <c r="N26" s="45"/>
      <c r="O26" s="31"/>
      <c r="P26" s="45"/>
      <c r="Q26" s="43" t="s">
        <v>67</v>
      </c>
    </row>
    <row r="27" spans="1:22" x14ac:dyDescent="0.25">
      <c r="A27" s="214" t="s">
        <v>27</v>
      </c>
      <c r="B27" s="214"/>
      <c r="C27" s="214"/>
      <c r="D27" s="214"/>
      <c r="E27" s="10" t="s">
        <v>53</v>
      </c>
      <c r="F27" s="21">
        <v>20</v>
      </c>
      <c r="G27" s="38" t="s">
        <v>60</v>
      </c>
      <c r="H27" s="48">
        <v>4</v>
      </c>
      <c r="I27" s="30"/>
      <c r="J27" s="26"/>
      <c r="K27" s="30"/>
      <c r="L27" s="26"/>
      <c r="M27" s="30"/>
      <c r="N27" s="26"/>
      <c r="O27" s="30"/>
      <c r="P27" s="26"/>
      <c r="Q27" s="44" t="s">
        <v>71</v>
      </c>
    </row>
    <row r="28" spans="1:22" x14ac:dyDescent="0.25">
      <c r="A28" s="215" t="s">
        <v>28</v>
      </c>
      <c r="B28" s="215"/>
      <c r="C28" s="215"/>
      <c r="D28" s="215"/>
      <c r="E28" s="12" t="s">
        <v>50</v>
      </c>
      <c r="F28" s="23">
        <v>6</v>
      </c>
      <c r="G28" s="34" t="s">
        <v>49</v>
      </c>
      <c r="H28" s="19">
        <v>2</v>
      </c>
      <c r="I28" s="39" t="s">
        <v>53</v>
      </c>
      <c r="J28" s="21">
        <v>2</v>
      </c>
      <c r="K28" s="41" t="s">
        <v>51</v>
      </c>
      <c r="L28" s="49">
        <v>2</v>
      </c>
      <c r="M28" s="31"/>
      <c r="N28" s="45"/>
      <c r="O28" s="31"/>
      <c r="P28" s="45"/>
      <c r="Q28" s="43" t="s">
        <v>65</v>
      </c>
    </row>
    <row r="29" spans="1:22" x14ac:dyDescent="0.25">
      <c r="A29" s="214" t="s">
        <v>29</v>
      </c>
      <c r="B29" s="214"/>
      <c r="C29" s="214"/>
      <c r="D29" s="214"/>
      <c r="E29" s="9" t="s">
        <v>52</v>
      </c>
      <c r="F29" s="20">
        <v>10</v>
      </c>
      <c r="G29" s="36" t="s">
        <v>56</v>
      </c>
      <c r="H29" s="47">
        <v>10</v>
      </c>
      <c r="I29" s="30"/>
      <c r="J29" s="26"/>
      <c r="K29" s="30"/>
      <c r="L29" s="26"/>
      <c r="M29" s="30"/>
      <c r="N29" s="26"/>
      <c r="O29" s="30"/>
      <c r="P29" s="26"/>
      <c r="Q29" s="44" t="s">
        <v>69</v>
      </c>
    </row>
    <row r="30" spans="1:22" x14ac:dyDescent="0.25">
      <c r="A30" s="215" t="s">
        <v>30</v>
      </c>
      <c r="B30" s="215"/>
      <c r="C30" s="215"/>
      <c r="D30" s="215"/>
      <c r="E30" s="8" t="s">
        <v>49</v>
      </c>
      <c r="F30" s="19">
        <v>8</v>
      </c>
      <c r="G30" s="31"/>
      <c r="H30" s="45"/>
      <c r="I30" s="31"/>
      <c r="J30" s="45"/>
      <c r="K30" s="31"/>
      <c r="L30" s="45"/>
      <c r="M30" s="31"/>
      <c r="N30" s="45"/>
      <c r="O30" s="31"/>
      <c r="P30" s="45"/>
      <c r="Q30" s="43" t="s">
        <v>64</v>
      </c>
    </row>
    <row r="31" spans="1:22" x14ac:dyDescent="0.25">
      <c r="A31" s="214" t="s">
        <v>31</v>
      </c>
      <c r="B31" s="214"/>
      <c r="C31" s="214"/>
      <c r="D31" s="214"/>
      <c r="E31" s="15"/>
      <c r="F31" s="26"/>
      <c r="G31" s="30"/>
      <c r="H31" s="26"/>
      <c r="I31" s="30"/>
      <c r="J31" s="26"/>
      <c r="K31" s="30"/>
      <c r="L31" s="26"/>
      <c r="M31" s="30"/>
      <c r="N31" s="26"/>
      <c r="O31" s="30"/>
      <c r="P31" s="26"/>
      <c r="Q31" s="44"/>
    </row>
    <row r="32" spans="1:22" x14ac:dyDescent="0.25">
      <c r="A32" s="215" t="s">
        <v>32</v>
      </c>
      <c r="B32" s="215"/>
      <c r="C32" s="215"/>
      <c r="D32" s="215"/>
      <c r="E32" s="10" t="s">
        <v>53</v>
      </c>
      <c r="F32" s="21">
        <v>8</v>
      </c>
      <c r="G32" s="38" t="s">
        <v>60</v>
      </c>
      <c r="H32" s="48">
        <v>4</v>
      </c>
      <c r="I32" s="31"/>
      <c r="J32" s="45"/>
      <c r="K32" s="31"/>
      <c r="L32" s="45"/>
      <c r="M32" s="31"/>
      <c r="N32" s="45"/>
      <c r="O32" s="31"/>
      <c r="P32" s="45"/>
      <c r="Q32" s="43" t="s">
        <v>65</v>
      </c>
    </row>
    <row r="33" spans="1:23" x14ac:dyDescent="0.25">
      <c r="A33" s="214" t="s">
        <v>33</v>
      </c>
      <c r="B33" s="214"/>
      <c r="C33" s="214"/>
      <c r="D33" s="214"/>
      <c r="E33" s="9" t="s">
        <v>52</v>
      </c>
      <c r="F33" s="20">
        <v>6</v>
      </c>
      <c r="G33" s="39" t="s">
        <v>53</v>
      </c>
      <c r="H33" s="21">
        <v>2</v>
      </c>
      <c r="I33" s="29" t="s">
        <v>50</v>
      </c>
      <c r="J33" s="23">
        <v>4</v>
      </c>
      <c r="K33" s="36" t="s">
        <v>56</v>
      </c>
      <c r="L33" s="47">
        <v>6</v>
      </c>
      <c r="M33" s="41" t="s">
        <v>51</v>
      </c>
      <c r="N33" s="49">
        <v>2</v>
      </c>
      <c r="O33" s="30"/>
      <c r="P33" s="26"/>
      <c r="Q33" s="44" t="s">
        <v>69</v>
      </c>
    </row>
    <row r="34" spans="1:23" x14ac:dyDescent="0.25">
      <c r="A34" s="215" t="s">
        <v>34</v>
      </c>
      <c r="B34" s="215"/>
      <c r="C34" s="215"/>
      <c r="D34" s="215"/>
      <c r="E34" s="8" t="s">
        <v>49</v>
      </c>
      <c r="F34" s="19">
        <v>12</v>
      </c>
      <c r="G34" s="29" t="s">
        <v>50</v>
      </c>
      <c r="H34" s="23">
        <v>4</v>
      </c>
      <c r="I34" s="41" t="s">
        <v>51</v>
      </c>
      <c r="J34" s="49">
        <v>2</v>
      </c>
      <c r="K34" s="31"/>
      <c r="L34" s="45"/>
      <c r="M34" s="31"/>
      <c r="N34" s="45"/>
      <c r="O34" s="31"/>
      <c r="P34" s="45"/>
      <c r="Q34" s="43" t="s">
        <v>62</v>
      </c>
    </row>
    <row r="35" spans="1:23" x14ac:dyDescent="0.25">
      <c r="A35" s="214" t="s">
        <v>35</v>
      </c>
      <c r="B35" s="214"/>
      <c r="C35" s="214"/>
      <c r="D35" s="214"/>
      <c r="E35" s="12" t="s">
        <v>50</v>
      </c>
      <c r="F35" s="23">
        <v>8</v>
      </c>
      <c r="G35" s="30"/>
      <c r="H35" s="26"/>
      <c r="I35" s="30"/>
      <c r="J35" s="26"/>
      <c r="K35" s="30"/>
      <c r="L35" s="26"/>
      <c r="M35" s="30"/>
      <c r="N35" s="26"/>
      <c r="O35" s="30"/>
      <c r="P35" s="26"/>
      <c r="Q35" s="44" t="s">
        <v>64</v>
      </c>
    </row>
    <row r="36" spans="1:23" x14ac:dyDescent="0.25">
      <c r="A36" s="215" t="s">
        <v>36</v>
      </c>
      <c r="B36" s="215"/>
      <c r="C36" s="215"/>
      <c r="D36" s="215"/>
      <c r="E36" s="10" t="s">
        <v>53</v>
      </c>
      <c r="F36" s="21">
        <v>8</v>
      </c>
      <c r="G36" s="31"/>
      <c r="H36" s="45"/>
      <c r="I36" s="31"/>
      <c r="J36" s="45"/>
      <c r="K36" s="31"/>
      <c r="L36" s="45"/>
      <c r="M36" s="31"/>
      <c r="N36" s="45"/>
      <c r="O36" s="31"/>
      <c r="P36" s="45"/>
      <c r="Q36" s="43" t="s">
        <v>64</v>
      </c>
    </row>
    <row r="37" spans="1:23" x14ac:dyDescent="0.25">
      <c r="A37" s="214" t="s">
        <v>37</v>
      </c>
      <c r="B37" s="214"/>
      <c r="C37" s="214"/>
      <c r="D37" s="214"/>
      <c r="E37" s="8" t="s">
        <v>49</v>
      </c>
      <c r="F37" s="19">
        <v>10</v>
      </c>
      <c r="G37" s="30"/>
      <c r="H37" s="26"/>
      <c r="I37" s="30"/>
      <c r="J37" s="26"/>
      <c r="K37" s="30"/>
      <c r="L37" s="26"/>
      <c r="M37" s="30"/>
      <c r="N37" s="26"/>
      <c r="O37" s="30"/>
      <c r="P37" s="26"/>
      <c r="Q37" s="44" t="s">
        <v>68</v>
      </c>
    </row>
    <row r="38" spans="1:23" x14ac:dyDescent="0.25">
      <c r="A38" s="215" t="s">
        <v>38</v>
      </c>
      <c r="B38" s="215"/>
      <c r="C38" s="215"/>
      <c r="D38" s="215"/>
      <c r="E38" s="16" t="s">
        <v>58</v>
      </c>
      <c r="F38" s="27">
        <v>4</v>
      </c>
      <c r="G38" s="40" t="s">
        <v>57</v>
      </c>
      <c r="H38" s="24">
        <v>2</v>
      </c>
      <c r="I38" s="29" t="s">
        <v>50</v>
      </c>
      <c r="J38" s="23">
        <v>2</v>
      </c>
      <c r="K38" s="31"/>
      <c r="L38" s="45"/>
      <c r="M38" s="31"/>
      <c r="N38" s="45"/>
      <c r="O38" s="31"/>
      <c r="P38" s="45"/>
      <c r="Q38" s="43" t="s">
        <v>64</v>
      </c>
    </row>
    <row r="39" spans="1:23" x14ac:dyDescent="0.25">
      <c r="A39" s="214" t="s">
        <v>39</v>
      </c>
      <c r="B39" s="214"/>
      <c r="C39" s="214"/>
      <c r="D39" s="214"/>
      <c r="E39" s="14" t="s">
        <v>59</v>
      </c>
      <c r="F39" s="25">
        <v>8</v>
      </c>
      <c r="G39" s="30"/>
      <c r="H39" s="26"/>
      <c r="I39" s="30"/>
      <c r="J39" s="26"/>
      <c r="K39" s="30"/>
      <c r="L39" s="26"/>
      <c r="M39" s="30"/>
      <c r="N39" s="26"/>
      <c r="O39" s="30"/>
      <c r="P39" s="26"/>
      <c r="Q39" s="44" t="s">
        <v>64</v>
      </c>
    </row>
    <row r="40" spans="1:23" x14ac:dyDescent="0.25">
      <c r="A40" s="215" t="s">
        <v>40</v>
      </c>
      <c r="B40" s="215"/>
      <c r="C40" s="215"/>
      <c r="D40" s="215"/>
      <c r="E40" s="9" t="s">
        <v>52</v>
      </c>
      <c r="F40" s="20">
        <v>16</v>
      </c>
      <c r="G40" s="32" t="s">
        <v>50</v>
      </c>
      <c r="H40" s="46">
        <v>1</v>
      </c>
      <c r="I40" s="36" t="s">
        <v>56</v>
      </c>
      <c r="J40" s="47">
        <v>16</v>
      </c>
      <c r="K40" s="32" t="s">
        <v>49</v>
      </c>
      <c r="L40" s="46">
        <v>1</v>
      </c>
      <c r="M40" s="31"/>
      <c r="N40" s="45"/>
      <c r="O40" s="31"/>
      <c r="P40" s="45"/>
      <c r="Q40" s="43" t="s">
        <v>74</v>
      </c>
    </row>
    <row r="41" spans="1:23" x14ac:dyDescent="0.25">
      <c r="A41" s="214" t="s">
        <v>41</v>
      </c>
      <c r="B41" s="214"/>
      <c r="C41" s="214"/>
      <c r="D41" s="214"/>
      <c r="E41" s="15"/>
      <c r="F41" s="26"/>
      <c r="G41" s="30"/>
      <c r="H41" s="26"/>
      <c r="I41" s="30"/>
      <c r="J41" s="26"/>
      <c r="K41" s="30"/>
      <c r="L41" s="26"/>
      <c r="M41" s="30"/>
      <c r="N41" s="26"/>
      <c r="O41" s="30"/>
      <c r="P41" s="26"/>
      <c r="Q41" s="44"/>
    </row>
    <row r="42" spans="1:23" x14ac:dyDescent="0.25">
      <c r="A42" s="215" t="s">
        <v>42</v>
      </c>
      <c r="B42" s="215"/>
      <c r="C42" s="215"/>
      <c r="D42" s="215"/>
      <c r="E42" s="12" t="s">
        <v>50</v>
      </c>
      <c r="F42" s="23">
        <v>7</v>
      </c>
      <c r="G42" s="32"/>
      <c r="H42" s="46"/>
      <c r="I42" s="34" t="s">
        <v>49</v>
      </c>
      <c r="J42" s="19">
        <v>5</v>
      </c>
      <c r="K42" s="35" t="s">
        <v>52</v>
      </c>
      <c r="L42" s="20">
        <v>2</v>
      </c>
      <c r="M42" s="39" t="s">
        <v>53</v>
      </c>
      <c r="N42" s="21">
        <v>4</v>
      </c>
      <c r="O42" s="41" t="s">
        <v>51</v>
      </c>
      <c r="P42" s="49">
        <v>4</v>
      </c>
      <c r="Q42" s="43" t="s">
        <v>72</v>
      </c>
      <c r="R42" s="78"/>
      <c r="S42" s="79"/>
      <c r="T42" s="79"/>
      <c r="U42" s="79"/>
      <c r="V42" s="79"/>
      <c r="W42" s="80"/>
    </row>
    <row r="43" spans="1:23" x14ac:dyDescent="0.25">
      <c r="A43" s="214" t="s">
        <v>43</v>
      </c>
      <c r="B43" s="214"/>
      <c r="C43" s="214"/>
      <c r="D43" s="214"/>
      <c r="E43" s="10" t="s">
        <v>53</v>
      </c>
      <c r="F43" s="21">
        <v>8</v>
      </c>
      <c r="G43" s="30"/>
      <c r="H43" s="26"/>
      <c r="I43" s="30"/>
      <c r="J43" s="26"/>
      <c r="K43" s="30"/>
      <c r="L43" s="26"/>
      <c r="M43" s="30"/>
      <c r="N43" s="26"/>
      <c r="O43" s="30"/>
      <c r="P43" s="26"/>
      <c r="Q43" s="44" t="s">
        <v>64</v>
      </c>
    </row>
    <row r="44" spans="1:23" x14ac:dyDescent="0.25">
      <c r="A44" s="215" t="s">
        <v>44</v>
      </c>
      <c r="B44" s="215"/>
      <c r="C44" s="215"/>
      <c r="D44" s="215"/>
      <c r="E44" s="9" t="s">
        <v>52</v>
      </c>
      <c r="F44" s="20">
        <v>8</v>
      </c>
      <c r="G44" s="36" t="s">
        <v>56</v>
      </c>
      <c r="H44" s="47">
        <v>8</v>
      </c>
      <c r="I44" s="31"/>
      <c r="J44" s="45"/>
      <c r="K44" s="31"/>
      <c r="L44" s="45"/>
      <c r="M44" s="31"/>
      <c r="N44" s="45"/>
      <c r="O44" s="31"/>
      <c r="P44" s="45"/>
      <c r="Q44" s="43" t="s">
        <v>66</v>
      </c>
    </row>
    <row r="45" spans="1:23" x14ac:dyDescent="0.25">
      <c r="A45" s="214" t="s">
        <v>45</v>
      </c>
      <c r="B45" s="214"/>
      <c r="C45" s="214"/>
      <c r="D45" s="214"/>
      <c r="E45" s="12" t="s">
        <v>50</v>
      </c>
      <c r="F45" s="23">
        <v>4</v>
      </c>
      <c r="G45" s="41" t="s">
        <v>51</v>
      </c>
      <c r="H45" s="49">
        <v>2</v>
      </c>
      <c r="I45" s="30"/>
      <c r="J45" s="26"/>
      <c r="K45" s="30"/>
      <c r="L45" s="26"/>
      <c r="M45" s="30"/>
      <c r="N45" s="26"/>
      <c r="O45" s="30"/>
      <c r="P45" s="26"/>
      <c r="Q45" s="44" t="s">
        <v>73</v>
      </c>
    </row>
    <row r="46" spans="1:23" x14ac:dyDescent="0.25">
      <c r="A46" s="215" t="s">
        <v>46</v>
      </c>
      <c r="B46" s="215"/>
      <c r="C46" s="215"/>
      <c r="D46" s="215"/>
      <c r="E46" s="11" t="s">
        <v>54</v>
      </c>
      <c r="F46" s="22">
        <v>8</v>
      </c>
      <c r="G46" s="31"/>
      <c r="H46" s="45"/>
      <c r="I46" s="31"/>
      <c r="J46" s="45"/>
      <c r="K46" s="31"/>
      <c r="L46" s="45"/>
      <c r="M46" s="31"/>
      <c r="N46" s="45"/>
      <c r="O46" s="31"/>
      <c r="P46" s="45"/>
      <c r="Q46" s="43" t="s">
        <v>64</v>
      </c>
    </row>
    <row r="47" spans="1:23" s="77" customFormat="1" ht="15.75" thickBot="1" x14ac:dyDescent="0.3">
      <c r="A47" s="216" t="s">
        <v>47</v>
      </c>
      <c r="B47" s="216"/>
      <c r="C47" s="216"/>
      <c r="D47" s="216"/>
      <c r="E47" s="72" t="s">
        <v>59</v>
      </c>
      <c r="F47" s="73">
        <v>8</v>
      </c>
      <c r="G47" s="74"/>
      <c r="H47" s="75"/>
      <c r="I47" s="74"/>
      <c r="J47" s="75"/>
      <c r="K47" s="74"/>
      <c r="L47" s="75"/>
      <c r="M47" s="74"/>
      <c r="N47" s="75"/>
      <c r="O47" s="74"/>
      <c r="P47" s="75"/>
      <c r="Q47" s="76" t="s">
        <v>64</v>
      </c>
    </row>
    <row r="48" spans="1:23" s="2" customFormat="1" ht="15.75" thickTop="1" x14ac:dyDescent="0.25">
      <c r="E48" s="17"/>
      <c r="F48" s="50"/>
      <c r="G48" s="42"/>
      <c r="H48" s="50"/>
      <c r="I48" s="42"/>
      <c r="J48" s="50"/>
      <c r="K48" s="42"/>
      <c r="L48" s="50"/>
      <c r="M48" s="42"/>
      <c r="N48" s="50"/>
      <c r="O48" s="42"/>
      <c r="P48" s="50"/>
      <c r="Q48" s="18"/>
    </row>
  </sheetData>
  <mergeCells count="60">
    <mergeCell ref="S15:V15"/>
    <mergeCell ref="S16:V16"/>
    <mergeCell ref="S17:V17"/>
    <mergeCell ref="S7:V7"/>
    <mergeCell ref="S10:V10"/>
    <mergeCell ref="S11:V11"/>
    <mergeCell ref="S12:V12"/>
    <mergeCell ref="S13:V13"/>
    <mergeCell ref="S14:V14"/>
    <mergeCell ref="A9:D9"/>
    <mergeCell ref="A1:D1"/>
    <mergeCell ref="A2:D2"/>
    <mergeCell ref="A3:D3"/>
    <mergeCell ref="S5:V5"/>
    <mergeCell ref="S6:V6"/>
    <mergeCell ref="S8:V8"/>
    <mergeCell ref="S9:V9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4:D14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38:D38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45:D45"/>
    <mergeCell ref="A46:D46"/>
    <mergeCell ref="A47:D47"/>
    <mergeCell ref="A39:D39"/>
    <mergeCell ref="A40:D40"/>
    <mergeCell ref="A41:D41"/>
    <mergeCell ref="A42:D42"/>
    <mergeCell ref="A43:D43"/>
    <mergeCell ref="A44:D44"/>
  </mergeCells>
  <phoneticPr fontId="3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Agronomia</vt:lpstr>
      <vt:lpstr>Ponto Equilibrio - 2021</vt:lpstr>
      <vt:lpstr>Ponto Equilibrio - CONG.</vt:lpstr>
      <vt:lpstr>Ponto Equilibrio 2025</vt:lpstr>
      <vt:lpstr>Ponto Equilibrio 2020</vt:lpstr>
      <vt:lpstr>Ponto Equilibrio - CONG. Alt.</vt:lpstr>
      <vt:lpstr>Ponto Equilibrio - Alterado</vt:lpstr>
      <vt:lpstr>Ponto Equilibrio - Corrig. Agro</vt:lpstr>
      <vt:lpstr>Planilha1</vt:lpstr>
      <vt:lpstr>Planilha2</vt:lpstr>
      <vt:lpstr>Planilha3</vt:lpstr>
      <vt:lpstr>Planilha4</vt:lpstr>
      <vt:lpstr>Agronomia!Area_de_impressao</vt:lpstr>
      <vt:lpstr>Planilha1!Area_de_impressao</vt:lpstr>
      <vt:lpstr>Planilha2!Area_de_impressao</vt:lpstr>
      <vt:lpstr>'Ponto Equilibrio - Alterado'!Area_de_impressao</vt:lpstr>
      <vt:lpstr>'Ponto Equilibrio - CONG. Alt.'!Area_de_impressao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Tesouraria 01</dc:creator>
  <cp:lastModifiedBy>Camara</cp:lastModifiedBy>
  <cp:lastPrinted>2024-04-16T19:13:33Z</cp:lastPrinted>
  <dcterms:created xsi:type="dcterms:W3CDTF">2019-06-27T23:41:37Z</dcterms:created>
  <dcterms:modified xsi:type="dcterms:W3CDTF">2025-04-29T19:25:35Z</dcterms:modified>
</cp:coreProperties>
</file>